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<sst xmlns="http://schemas.openxmlformats.org/spreadsheetml/2006/main" count="300" uniqueCount="130">
  <si>
    <t>ANNUALIZED SAN GABRIEL VALLEY SECTOR BUS SERVICE PERFORMANCE</t>
  </si>
  <si>
    <t>DATA FOR DECEMBER 15, 2003 SERVICE PROGRAM</t>
  </si>
  <si>
    <t xml:space="preserve"> </t>
  </si>
  <si>
    <t>INTERLINE</t>
  </si>
  <si>
    <t>Net Peak</t>
  </si>
  <si>
    <t>BUS PULL-OUTS</t>
  </si>
  <si>
    <t>SAVINGS</t>
  </si>
  <si>
    <t>VEHICLE HOURS</t>
  </si>
  <si>
    <t>VEHICLE MILES</t>
  </si>
  <si>
    <t>LINE &amp; SECTOR PERFORMANCE</t>
  </si>
  <si>
    <t>Line</t>
  </si>
  <si>
    <t>Branch</t>
  </si>
  <si>
    <t>Line Name</t>
  </si>
  <si>
    <t>Division or Contractor</t>
  </si>
  <si>
    <t>Sector</t>
  </si>
  <si>
    <t>AM RUSH</t>
  </si>
  <si>
    <t>DAY BASE</t>
  </si>
  <si>
    <t>PM RUSH</t>
  </si>
  <si>
    <t>OWL</t>
  </si>
  <si>
    <t>AM</t>
  </si>
  <si>
    <t>PM</t>
  </si>
  <si>
    <r>
      <t xml:space="preserve">Peak </t>
    </r>
    <r>
      <rPr>
        <sz val="9"/>
        <rFont val="Arial"/>
        <family val="2"/>
      </rPr>
      <t>Buses</t>
    </r>
    <r>
      <rPr>
        <sz val="10"/>
        <rFont val="Arial"/>
        <family val="2"/>
      </rPr>
      <t xml:space="preserve"> AM</t>
    </r>
  </si>
  <si>
    <t>TOTAL</t>
  </si>
  <si>
    <t>Annual Rev. Bus Hrs.</t>
  </si>
  <si>
    <t>Annual Rev. Bus Miles</t>
  </si>
  <si>
    <t>Est. Seat Miles</t>
  </si>
  <si>
    <t>Rev./ Psgr</t>
  </si>
  <si>
    <t>Annual  Ridership</t>
  </si>
  <si>
    <t>% of Sector Ridrs</t>
  </si>
  <si>
    <t>Psgr. Trip Lgth</t>
  </si>
  <si>
    <t xml:space="preserve">Est. Psgr. Rev. </t>
  </si>
  <si>
    <t>Psgr. Miles</t>
  </si>
  <si>
    <t>Est. Annual Operating Cost</t>
  </si>
  <si>
    <t>Est. Annual Subsidy</t>
  </si>
  <si>
    <t>Cost / Rev. Hr.</t>
  </si>
  <si>
    <t>Cost / Bus Mile</t>
  </si>
  <si>
    <t>Cost / Psgr.</t>
  </si>
  <si>
    <t>Cost / Psgr. Mile</t>
  </si>
  <si>
    <t>Psgrs. / Rev. Hr.</t>
  </si>
  <si>
    <t>Psgr. Miles / Seat Mile</t>
  </si>
  <si>
    <t>Subsidy / Psgr.</t>
  </si>
  <si>
    <t>Subsidy / Psgr. Mile</t>
  </si>
  <si>
    <t>Subsidy / Rev Hr.</t>
  </si>
  <si>
    <t>Subsidy / Bus Mile.</t>
  </si>
  <si>
    <t>83/84/85/ 328</t>
  </si>
  <si>
    <t>W.Olympic Bl./Marmion Wy./Eagle Rock Bl./Verdugo Rd</t>
  </si>
  <si>
    <t>SGV</t>
  </si>
  <si>
    <t>Soto St./Av. 26/103rd St.</t>
  </si>
  <si>
    <t>Figueroa St.</t>
  </si>
  <si>
    <t>181/ 380</t>
  </si>
  <si>
    <t>Pasadena-Glendale-Hollywood</t>
  </si>
  <si>
    <t>Garvey Av.</t>
  </si>
  <si>
    <t>Atlantic Bl.</t>
  </si>
  <si>
    <t>Valley Bl.</t>
  </si>
  <si>
    <t xml:space="preserve">Las Tunas-Main St./Huntington Dr. </t>
  </si>
  <si>
    <t>Pomona-El Monte-LA</t>
  </si>
  <si>
    <t>Fair Oaks Av./Lake Av.-LA</t>
  </si>
  <si>
    <t>Fullerton-Covina-El Monte-LA</t>
  </si>
  <si>
    <t>Altadena-City of Hope</t>
  </si>
  <si>
    <t>Altadena-Pasadena-LA</t>
  </si>
  <si>
    <t>San Gabriel/Sierra Madre/El Monte/LA</t>
  </si>
  <si>
    <t>Washington Bl.</t>
  </si>
  <si>
    <t>Del Mar Bl.</t>
  </si>
  <si>
    <t>Freemont Av.</t>
  </si>
  <si>
    <t>Hyperion Av.</t>
  </si>
  <si>
    <t>Silver Lake Bl.</t>
  </si>
  <si>
    <t>Mission Dr.</t>
  </si>
  <si>
    <t>Boyle Heights Shuttle</t>
  </si>
  <si>
    <t>Puente Hills Mall-Brea Mall</t>
  </si>
  <si>
    <t>Hellman Av.</t>
  </si>
  <si>
    <t>Rowan Av.</t>
  </si>
  <si>
    <t>Rosemead Bl.-LA</t>
  </si>
  <si>
    <t>Altadena Dr.</t>
  </si>
  <si>
    <t xml:space="preserve">State St./Evergreen Av. </t>
  </si>
  <si>
    <t>SAN GABRIEL VALLEY SECTOR DIRECTLY OPERATED TOTALS</t>
  </si>
  <si>
    <t>Gateway</t>
  </si>
  <si>
    <t>SFV</t>
  </si>
  <si>
    <t>South Bay</t>
  </si>
  <si>
    <t>WEST</t>
  </si>
  <si>
    <t>Estimated Special &amp; Pink Service</t>
  </si>
  <si>
    <t>% OF MTA SYSTEM DIRECTLY OPERATE</t>
  </si>
  <si>
    <t>SECTORS</t>
  </si>
  <si>
    <t>MTA SYSTEM TOTAL -DIRECTLY OPERATED BUS SERVICE</t>
  </si>
  <si>
    <t>50% worse than MTA system avg.</t>
  </si>
  <si>
    <t>100% worse then MTA system avg.</t>
  </si>
  <si>
    <t>FY 04 MTA DIRECTLY OPERATED BUS BUDGET</t>
  </si>
  <si>
    <t>COST FACTORS</t>
  </si>
  <si>
    <t>Passenger Boardings</t>
  </si>
  <si>
    <t>AM Pull Outs</t>
  </si>
  <si>
    <t>Revenue Miles</t>
  </si>
  <si>
    <t>Revenue Hours</t>
  </si>
  <si>
    <t>System Overhead</t>
  </si>
  <si>
    <r>
      <t>SAN GABRIEL VALLEY</t>
    </r>
    <r>
      <rPr>
        <b/>
        <i/>
        <u val="single"/>
        <sz val="18"/>
        <color indexed="10"/>
        <rFont val="Arial"/>
        <family val="2"/>
      </rPr>
      <t xml:space="preserve"> CONTRACTED</t>
    </r>
    <r>
      <rPr>
        <b/>
        <sz val="18"/>
        <rFont val="Arial"/>
        <family val="2"/>
      </rPr>
      <t xml:space="preserve"> BUS SERVICE</t>
    </r>
  </si>
  <si>
    <t>Rosemead Bl. - Lakewood Bl.</t>
  </si>
  <si>
    <t>First Transit</t>
  </si>
  <si>
    <t>Monrovia - Norwalk</t>
  </si>
  <si>
    <t>Eastern Av. Hill Av.</t>
  </si>
  <si>
    <t>Grande Vista Av. USC Hospital</t>
  </si>
  <si>
    <t>TCI</t>
  </si>
  <si>
    <t>Lorena St.</t>
  </si>
  <si>
    <t>JPL- Pasadena - City of Hope</t>
  </si>
  <si>
    <t>Artesia</t>
  </si>
  <si>
    <t>Willowbrook - Harbor City</t>
  </si>
  <si>
    <t>USA</t>
  </si>
  <si>
    <t>Artesia Transit Center</t>
  </si>
  <si>
    <t>Lakewood Sta. Green Line Shuttle</t>
  </si>
  <si>
    <t xml:space="preserve">Norwalk 4 </t>
  </si>
  <si>
    <t>LA Zoo</t>
  </si>
  <si>
    <t>Plummer</t>
  </si>
  <si>
    <t>Glendale Beeline</t>
  </si>
  <si>
    <t>Alondra Bl.</t>
  </si>
  <si>
    <t>Rosecrans</t>
  </si>
  <si>
    <t>Palos Verdes</t>
  </si>
  <si>
    <t>Sepulveda - LB - LAX</t>
  </si>
  <si>
    <t>Night Line</t>
  </si>
  <si>
    <t>625/626</t>
  </si>
  <si>
    <t>LAX Green Line Shuttles</t>
  </si>
  <si>
    <t>MV</t>
  </si>
  <si>
    <t>Alameda</t>
  </si>
  <si>
    <t>West</t>
  </si>
  <si>
    <t>Laurel Cyn. Cedars Sinai Med. Center</t>
  </si>
  <si>
    <t>Rampart Bl. - Hoover St.</t>
  </si>
  <si>
    <t xml:space="preserve">SAN GABRIEL VALLEY SECTOR TOTAL </t>
  </si>
  <si>
    <t>% OF MTA CONTRACTED SERVICE</t>
  </si>
  <si>
    <t>CONTRACT SERVICE TOTALS FOR MTA SYSTEM</t>
  </si>
  <si>
    <t>FY 04 MTA CONTRACT BUS BUDGET</t>
  </si>
  <si>
    <t xml:space="preserve">Tier </t>
  </si>
  <si>
    <r>
      <t>COMBINED</t>
    </r>
    <r>
      <rPr>
        <b/>
        <sz val="18"/>
        <rFont val="Arial"/>
        <family val="2"/>
      </rPr>
      <t xml:space="preserve"> </t>
    </r>
    <r>
      <rPr>
        <b/>
        <i/>
        <u val="single"/>
        <sz val="18"/>
        <rFont val="Arial"/>
        <family val="2"/>
      </rPr>
      <t>DIRECTLY OPERATED</t>
    </r>
    <r>
      <rPr>
        <b/>
        <sz val="18"/>
        <rFont val="Arial"/>
        <family val="2"/>
      </rPr>
      <t xml:space="preserve"> AND </t>
    </r>
    <r>
      <rPr>
        <b/>
        <i/>
        <u val="single"/>
        <sz val="18"/>
        <rFont val="Arial"/>
        <family val="2"/>
      </rPr>
      <t>CONTRACT</t>
    </r>
    <r>
      <rPr>
        <b/>
        <sz val="18"/>
        <rFont val="Arial"/>
        <family val="2"/>
      </rPr>
      <t xml:space="preserve"> SERVICE ANNUALIZE TOTALS</t>
    </r>
  </si>
  <si>
    <t>TOTAL MTA BUS SERVICE</t>
  </si>
  <si>
    <t>FY 04 MTA BUS BUDGET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</si>
</sst>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0_);[Red]\(&quot;$&quot;#,##0.000\)"/>
    <numFmt numFmtId="166" formatCode="0.0"/>
    <numFmt numFmtId="167" formatCode="#,##0.000_);[Red]\(#,##0.000\)"/>
    <numFmt numFmtId="168" formatCode="&quot;$&quot;#,##0"/>
    <numFmt numFmtId="169" formatCode="_(&quot;$&quot;* #,##0_);_(&quot;$&quot;* \(#,##0\);_(&quot;$&quot;* &quot;-&quot;??_);_(@_)"/>
    <numFmt numFmtId="170" formatCode="0.000"/>
    <numFmt numFmtId="171" formatCode="_(* #,##0_);_(* \(#,##0\);_(* &quot;-&quot;??_);_(@_)"/>
    <numFmt numFmtId="172" formatCode="&quot;$&quot;#,##0.0000_);[Red]\(&quot;$&quot;#,##0.0000\)"/>
    <numFmt numFmtId="173" formatCode="#,##0.0"/>
  </numFmts>
  <fonts count="20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3.5"/>
      <name val="Arial"/>
      <family val="2"/>
    </font>
    <font>
      <b/>
      <i/>
      <u val="single"/>
      <sz val="18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8"/>
      <color indexed="12"/>
      <name val="Arial"/>
      <family val="2"/>
    </font>
    <font>
      <b/>
      <i/>
      <u val="single"/>
      <sz val="1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1">
    <xf numFmtId="0" fontId="0" fillId="0" borderId="0" xfId="0" applyAlignment="1">
      <alignment/>
    </xf>
    <xf numFmtId="0" fontId="0" fillId="0" borderId="0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" fillId="0" borderId="0" xfId="20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15" fontId="0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20" applyFont="1" applyFill="1" applyAlignment="1">
      <alignment wrapText="1"/>
      <protection/>
    </xf>
    <xf numFmtId="0" fontId="0" fillId="0" borderId="0" xfId="20" applyFont="1" applyFill="1">
      <alignment/>
      <protection/>
    </xf>
    <xf numFmtId="0" fontId="0" fillId="0" borderId="0" xfId="20" applyFont="1" applyFill="1" applyAlignment="1">
      <alignment horizontal="center"/>
      <protection/>
    </xf>
    <xf numFmtId="0" fontId="0" fillId="0" borderId="1" xfId="20" applyFont="1" applyFill="1" applyBorder="1" applyAlignment="1">
      <alignment horizontal="left"/>
      <protection/>
    </xf>
    <xf numFmtId="0" fontId="0" fillId="0" borderId="2" xfId="20" applyFont="1" applyFill="1" applyBorder="1" applyAlignment="1">
      <alignment horizontal="left"/>
      <protection/>
    </xf>
    <xf numFmtId="0" fontId="0" fillId="0" borderId="1" xfId="20" applyFont="1" applyFill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20" applyFont="1" applyFill="1" applyAlignment="1">
      <alignment horizontal="center" wrapText="1"/>
      <protection/>
    </xf>
    <xf numFmtId="0" fontId="0" fillId="0" borderId="4" xfId="20" applyFont="1" applyFill="1" applyBorder="1" applyAlignment="1">
      <alignment horizontal="center"/>
      <protection/>
    </xf>
    <xf numFmtId="0" fontId="0" fillId="0" borderId="2" xfId="20" applyFont="1" applyFill="1" applyBorder="1" applyAlignment="1">
      <alignment horizontal="center"/>
      <protection/>
    </xf>
    <xf numFmtId="0" fontId="0" fillId="0" borderId="3" xfId="20" applyFont="1" applyFill="1" applyBorder="1" applyAlignment="1">
      <alignment horizontal="center"/>
      <protection/>
    </xf>
    <xf numFmtId="0" fontId="0" fillId="0" borderId="5" xfId="20" applyFont="1" applyFill="1" applyBorder="1" applyAlignment="1">
      <alignment horizontal="left"/>
      <protection/>
    </xf>
    <xf numFmtId="0" fontId="0" fillId="0" borderId="0" xfId="20" applyFont="1" applyFill="1" applyBorder="1" applyAlignment="1">
      <alignment horizontal="left"/>
      <protection/>
    </xf>
    <xf numFmtId="0" fontId="0" fillId="0" borderId="6" xfId="0" applyFont="1" applyBorder="1" applyAlignment="1">
      <alignment horizontal="center"/>
    </xf>
    <xf numFmtId="0" fontId="0" fillId="0" borderId="6" xfId="20" applyFont="1" applyBorder="1" applyAlignment="1">
      <alignment horizontal="center"/>
      <protection/>
    </xf>
    <xf numFmtId="0" fontId="0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9" xfId="20" applyFont="1" applyFill="1" applyBorder="1" applyAlignment="1">
      <alignment horizontal="center" wrapText="1"/>
      <protection/>
    </xf>
    <xf numFmtId="0" fontId="1" fillId="0" borderId="9" xfId="20" applyFont="1" applyFill="1" applyBorder="1" applyAlignment="1">
      <alignment horizontal="center" wrapText="1"/>
      <protection/>
    </xf>
    <xf numFmtId="0" fontId="0" fillId="0" borderId="10" xfId="20" applyFont="1" applyFill="1" applyBorder="1" applyAlignment="1">
      <alignment horizontal="center" wrapText="1"/>
      <protection/>
    </xf>
    <xf numFmtId="0" fontId="1" fillId="0" borderId="11" xfId="20" applyFont="1" applyFill="1" applyBorder="1" applyAlignment="1">
      <alignment horizontal="center" wrapText="1"/>
      <protection/>
    </xf>
    <xf numFmtId="0" fontId="0" fillId="0" borderId="12" xfId="20" applyFont="1" applyFill="1" applyBorder="1" applyAlignment="1">
      <alignment horizontal="centerContinuous" wrapText="1"/>
      <protection/>
    </xf>
    <xf numFmtId="0" fontId="0" fillId="0" borderId="5" xfId="20" applyFont="1" applyFill="1" applyBorder="1" applyAlignment="1">
      <alignment horizontal="center" wrapText="1"/>
      <protection/>
    </xf>
    <xf numFmtId="0" fontId="0" fillId="0" borderId="13" xfId="20" applyFont="1" applyFill="1" applyBorder="1" applyAlignment="1">
      <alignment horizontal="center" wrapText="1"/>
      <protection/>
    </xf>
    <xf numFmtId="0" fontId="0" fillId="0" borderId="0" xfId="20" applyFont="1" applyFill="1" applyBorder="1" applyAlignment="1">
      <alignment horizontal="center" wrapText="1"/>
      <protection/>
    </xf>
    <xf numFmtId="0" fontId="0" fillId="0" borderId="14" xfId="20" applyFont="1" applyFill="1" applyBorder="1" applyAlignment="1">
      <alignment horizontal="center" wrapText="1"/>
      <protection/>
    </xf>
    <xf numFmtId="0" fontId="0" fillId="0" borderId="5" xfId="20" applyFont="1" applyFill="1" applyBorder="1" applyAlignment="1">
      <alignment horizontal="right" wrapText="1"/>
      <protection/>
    </xf>
    <xf numFmtId="0" fontId="0" fillId="0" borderId="0" xfId="20" applyFont="1" applyFill="1" applyBorder="1" applyAlignment="1">
      <alignment horizontal="right" wrapText="1"/>
      <protection/>
    </xf>
    <xf numFmtId="0" fontId="0" fillId="0" borderId="14" xfId="20" applyFont="1" applyBorder="1" applyAlignment="1">
      <alignment horizontal="center" wrapText="1"/>
      <protection/>
    </xf>
    <xf numFmtId="0" fontId="0" fillId="0" borderId="6" xfId="20" applyFont="1" applyBorder="1" applyAlignment="1">
      <alignment horizontal="center" wrapText="1"/>
      <protection/>
    </xf>
    <xf numFmtId="0" fontId="0" fillId="0" borderId="15" xfId="20" applyFont="1" applyBorder="1" applyAlignment="1">
      <alignment horizontal="center" wrapText="1"/>
      <protection/>
    </xf>
    <xf numFmtId="0" fontId="0" fillId="0" borderId="16" xfId="20" applyFont="1" applyBorder="1" applyAlignment="1">
      <alignment horizontal="center" wrapText="1"/>
      <protection/>
    </xf>
    <xf numFmtId="0" fontId="0" fillId="0" borderId="6" xfId="0" applyFont="1" applyFill="1" applyBorder="1" applyAlignment="1">
      <alignment horizontal="center" wrapText="1"/>
    </xf>
    <xf numFmtId="0" fontId="4" fillId="2" borderId="10" xfId="20" applyFont="1" applyFill="1" applyBorder="1" applyAlignment="1">
      <alignment horizontal="center" wrapText="1"/>
      <protection/>
    </xf>
    <xf numFmtId="0" fontId="0" fillId="0" borderId="12" xfId="0" applyNumberFormat="1" applyFont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>
      <alignment horizontal="center" wrapText="1"/>
    </xf>
    <xf numFmtId="3" fontId="0" fillId="0" borderId="11" xfId="0" applyNumberFormat="1" applyFont="1" applyBorder="1" applyAlignment="1" applyProtection="1">
      <alignment horizontal="center" wrapText="1"/>
      <protection locked="0"/>
    </xf>
    <xf numFmtId="0" fontId="0" fillId="0" borderId="10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0" fontId="1" fillId="3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8" fontId="0" fillId="0" borderId="0" xfId="0" applyNumberFormat="1" applyFont="1" applyBorder="1" applyAlignment="1">
      <alignment/>
    </xf>
    <xf numFmtId="164" fontId="1" fillId="0" borderId="0" xfId="21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6" fontId="0" fillId="0" borderId="5" xfId="0" applyNumberFormat="1" applyFont="1" applyBorder="1" applyAlignment="1">
      <alignment horizontal="center"/>
    </xf>
    <xf numFmtId="6" fontId="0" fillId="0" borderId="1" xfId="17" applyNumberFormat="1" applyFont="1" applyBorder="1" applyAlignment="1">
      <alignment horizontal="center"/>
    </xf>
    <xf numFmtId="6" fontId="0" fillId="0" borderId="0" xfId="17" applyNumberFormat="1" applyFont="1" applyBorder="1" applyAlignment="1">
      <alignment horizontal="center"/>
    </xf>
    <xf numFmtId="8" fontId="0" fillId="0" borderId="22" xfId="0" applyNumberFormat="1" applyFont="1" applyBorder="1" applyAlignment="1">
      <alignment horizontal="center"/>
    </xf>
    <xf numFmtId="8" fontId="0" fillId="0" borderId="0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8" fontId="0" fillId="0" borderId="24" xfId="0" applyNumberFormat="1" applyFont="1" applyBorder="1" applyAlignment="1">
      <alignment horizontal="center"/>
    </xf>
    <xf numFmtId="165" fontId="0" fillId="0" borderId="25" xfId="0" applyNumberFormat="1" applyFont="1" applyBorder="1" applyAlignment="1">
      <alignment horizontal="center"/>
    </xf>
    <xf numFmtId="8" fontId="7" fillId="0" borderId="26" xfId="0" applyNumberFormat="1" applyFont="1" applyBorder="1" applyAlignment="1">
      <alignment horizontal="center"/>
    </xf>
    <xf numFmtId="8" fontId="0" fillId="0" borderId="2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20" applyFont="1" applyFill="1" applyBorder="1" applyAlignment="1">
      <alignment horizontal="center"/>
      <protection/>
    </xf>
    <xf numFmtId="0" fontId="1" fillId="0" borderId="14" xfId="20" applyFont="1" applyFill="1" applyBorder="1" applyAlignment="1">
      <alignment horizontal="center" wrapText="1"/>
      <protection/>
    </xf>
    <xf numFmtId="0" fontId="0" fillId="0" borderId="5" xfId="20" applyFont="1" applyFill="1" applyBorder="1" applyAlignment="1">
      <alignment wrapText="1"/>
      <protection/>
    </xf>
    <xf numFmtId="0" fontId="1" fillId="3" borderId="5" xfId="20" applyFont="1" applyFill="1" applyBorder="1">
      <alignment/>
      <protection/>
    </xf>
    <xf numFmtId="0" fontId="1" fillId="0" borderId="0" xfId="20" applyFont="1" applyFill="1" applyBorder="1">
      <alignment/>
      <protection/>
    </xf>
    <xf numFmtId="0" fontId="1" fillId="0" borderId="14" xfId="20" applyFont="1" applyFill="1" applyBorder="1">
      <alignment/>
      <protection/>
    </xf>
    <xf numFmtId="4" fontId="0" fillId="0" borderId="14" xfId="0" applyNumberFormat="1" applyFont="1" applyBorder="1" applyAlignment="1">
      <alignment horizontal="center"/>
    </xf>
    <xf numFmtId="6" fontId="0" fillId="0" borderId="5" xfId="17" applyNumberFormat="1" applyFont="1" applyBorder="1" applyAlignment="1">
      <alignment horizontal="center"/>
    </xf>
    <xf numFmtId="8" fontId="0" fillId="0" borderId="0" xfId="0" applyNumberFormat="1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/>
    </xf>
    <xf numFmtId="166" fontId="0" fillId="0" borderId="23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8" fontId="0" fillId="0" borderId="24" xfId="0" applyNumberFormat="1" applyFont="1" applyFill="1" applyBorder="1" applyAlignment="1">
      <alignment horizontal="center"/>
    </xf>
    <xf numFmtId="165" fontId="0" fillId="0" borderId="24" xfId="0" applyNumberFormat="1" applyFont="1" applyFill="1" applyBorder="1" applyAlignment="1">
      <alignment horizontal="center"/>
    </xf>
    <xf numFmtId="8" fontId="7" fillId="0" borderId="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/>
    </xf>
    <xf numFmtId="165" fontId="0" fillId="0" borderId="24" xfId="0" applyNumberFormat="1" applyFont="1" applyBorder="1" applyAlignment="1">
      <alignment horizontal="center"/>
    </xf>
    <xf numFmtId="0" fontId="1" fillId="4" borderId="5" xfId="20" applyFont="1" applyFill="1" applyBorder="1">
      <alignment/>
      <protection/>
    </xf>
    <xf numFmtId="8" fontId="0" fillId="5" borderId="0" xfId="0" applyNumberFormat="1" applyFont="1" applyFill="1" applyBorder="1" applyAlignment="1">
      <alignment horizontal="center"/>
    </xf>
    <xf numFmtId="166" fontId="0" fillId="5" borderId="23" xfId="0" applyNumberFormat="1" applyFont="1" applyFill="1" applyBorder="1" applyAlignment="1">
      <alignment horizontal="center"/>
    </xf>
    <xf numFmtId="167" fontId="0" fillId="6" borderId="0" xfId="0" applyNumberFormat="1" applyFont="1" applyFill="1" applyBorder="1" applyAlignment="1">
      <alignment horizontal="center"/>
    </xf>
    <xf numFmtId="8" fontId="0" fillId="5" borderId="24" xfId="0" applyNumberFormat="1" applyFont="1" applyFill="1" applyBorder="1" applyAlignment="1">
      <alignment horizontal="center"/>
    </xf>
    <xf numFmtId="8" fontId="7" fillId="6" borderId="0" xfId="0" applyNumberFormat="1" applyFont="1" applyFill="1" applyBorder="1" applyAlignment="1">
      <alignment horizontal="center"/>
    </xf>
    <xf numFmtId="8" fontId="0" fillId="6" borderId="0" xfId="0" applyNumberFormat="1" applyFont="1" applyFill="1" applyBorder="1" applyAlignment="1">
      <alignment horizontal="center"/>
    </xf>
    <xf numFmtId="8" fontId="0" fillId="6" borderId="24" xfId="0" applyNumberFormat="1" applyFont="1" applyFill="1" applyBorder="1" applyAlignment="1">
      <alignment horizontal="center"/>
    </xf>
    <xf numFmtId="165" fontId="0" fillId="6" borderId="24" xfId="0" applyNumberFormat="1" applyFont="1" applyFill="1" applyBorder="1" applyAlignment="1">
      <alignment horizontal="center"/>
    </xf>
    <xf numFmtId="166" fontId="0" fillId="6" borderId="23" xfId="0" applyNumberFormat="1" applyFont="1" applyFill="1" applyBorder="1" applyAlignment="1">
      <alignment horizontal="center"/>
    </xf>
    <xf numFmtId="165" fontId="0" fillId="6" borderId="14" xfId="0" applyNumberFormat="1" applyFont="1" applyFill="1" applyBorder="1" applyAlignment="1">
      <alignment horizontal="center"/>
    </xf>
    <xf numFmtId="166" fontId="0" fillId="7" borderId="23" xfId="0" applyNumberFormat="1" applyFont="1" applyFill="1" applyBorder="1" applyAlignment="1">
      <alignment horizontal="center"/>
    </xf>
    <xf numFmtId="165" fontId="0" fillId="5" borderId="24" xfId="0" applyNumberFormat="1" applyFont="1" applyFill="1" applyBorder="1" applyAlignment="1">
      <alignment horizontal="center"/>
    </xf>
    <xf numFmtId="0" fontId="1" fillId="4" borderId="0" xfId="20" applyFont="1" applyFill="1" applyBorder="1">
      <alignment/>
      <protection/>
    </xf>
    <xf numFmtId="165" fontId="0" fillId="5" borderId="14" xfId="0" applyNumberFormat="1" applyFont="1" applyFill="1" applyBorder="1" applyAlignment="1">
      <alignment horizontal="center"/>
    </xf>
    <xf numFmtId="167" fontId="0" fillId="5" borderId="0" xfId="0" applyNumberFormat="1" applyFont="1" applyFill="1" applyBorder="1" applyAlignment="1">
      <alignment horizontal="center"/>
    </xf>
    <xf numFmtId="8" fontId="0" fillId="0" borderId="22" xfId="0" applyNumberFormat="1" applyFont="1" applyFill="1" applyBorder="1" applyAlignment="1">
      <alignment horizontal="center"/>
    </xf>
    <xf numFmtId="0" fontId="0" fillId="0" borderId="15" xfId="20" applyFont="1" applyFill="1" applyBorder="1" applyAlignment="1">
      <alignment horizontal="center"/>
      <protection/>
    </xf>
    <xf numFmtId="0" fontId="0" fillId="0" borderId="27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8" fontId="0" fillId="0" borderId="29" xfId="0" applyNumberFormat="1" applyFont="1" applyBorder="1" applyAlignment="1">
      <alignment/>
    </xf>
    <xf numFmtId="164" fontId="1" fillId="0" borderId="29" xfId="21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6" fontId="0" fillId="0" borderId="27" xfId="0" applyNumberFormat="1" applyFont="1" applyBorder="1" applyAlignment="1">
      <alignment horizontal="center"/>
    </xf>
    <xf numFmtId="6" fontId="0" fillId="0" borderId="27" xfId="17" applyNumberFormat="1" applyFont="1" applyBorder="1" applyAlignment="1">
      <alignment horizontal="center"/>
    </xf>
    <xf numFmtId="6" fontId="0" fillId="0" borderId="29" xfId="17" applyNumberFormat="1" applyFont="1" applyBorder="1" applyAlignment="1">
      <alignment horizontal="center"/>
    </xf>
    <xf numFmtId="8" fontId="0" fillId="0" borderId="30" xfId="0" applyNumberFormat="1" applyFont="1" applyBorder="1" applyAlignment="1">
      <alignment horizontal="center"/>
    </xf>
    <xf numFmtId="8" fontId="0" fillId="0" borderId="29" xfId="0" applyNumberFormat="1" applyFont="1" applyBorder="1" applyAlignment="1">
      <alignment horizontal="center"/>
    </xf>
    <xf numFmtId="8" fontId="0" fillId="5" borderId="29" xfId="0" applyNumberFormat="1" applyFont="1" applyFill="1" applyBorder="1" applyAlignment="1">
      <alignment horizontal="center"/>
    </xf>
    <xf numFmtId="165" fontId="0" fillId="5" borderId="28" xfId="0" applyNumberFormat="1" applyFont="1" applyFill="1" applyBorder="1" applyAlignment="1">
      <alignment horizontal="center"/>
    </xf>
    <xf numFmtId="166" fontId="0" fillId="5" borderId="31" xfId="0" applyNumberFormat="1" applyFont="1" applyFill="1" applyBorder="1" applyAlignment="1">
      <alignment horizontal="center"/>
    </xf>
    <xf numFmtId="167" fontId="0" fillId="5" borderId="29" xfId="0" applyNumberFormat="1" applyFont="1" applyFill="1" applyBorder="1" applyAlignment="1">
      <alignment horizontal="center"/>
    </xf>
    <xf numFmtId="8" fontId="0" fillId="5" borderId="32" xfId="0" applyNumberFormat="1" applyFont="1" applyFill="1" applyBorder="1" applyAlignment="1">
      <alignment horizontal="center"/>
    </xf>
    <xf numFmtId="165" fontId="0" fillId="5" borderId="32" xfId="0" applyNumberFormat="1" applyFont="1" applyFill="1" applyBorder="1" applyAlignment="1">
      <alignment horizontal="center"/>
    </xf>
    <xf numFmtId="8" fontId="7" fillId="6" borderId="29" xfId="0" applyNumberFormat="1" applyFont="1" applyFill="1" applyBorder="1" applyAlignment="1">
      <alignment horizontal="center"/>
    </xf>
    <xf numFmtId="8" fontId="0" fillId="6" borderId="32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168" fontId="0" fillId="0" borderId="15" xfId="0" applyNumberFormat="1" applyFont="1" applyFill="1" applyBorder="1" applyAlignment="1">
      <alignment horizontal="center"/>
    </xf>
    <xf numFmtId="168" fontId="0" fillId="0" borderId="6" xfId="0" applyNumberFormat="1" applyFont="1" applyFill="1" applyBorder="1" applyAlignment="1">
      <alignment horizontal="center"/>
    </xf>
    <xf numFmtId="8" fontId="0" fillId="0" borderId="33" xfId="0" applyNumberFormat="1" applyFont="1" applyBorder="1" applyAlignment="1">
      <alignment horizontal="center"/>
    </xf>
    <xf numFmtId="8" fontId="0" fillId="0" borderId="34" xfId="0" applyNumberFormat="1" applyFont="1" applyBorder="1" applyAlignment="1">
      <alignment horizontal="center"/>
    </xf>
    <xf numFmtId="165" fontId="0" fillId="0" borderId="35" xfId="0" applyNumberFormat="1" applyFont="1" applyBorder="1" applyAlignment="1">
      <alignment horizontal="center"/>
    </xf>
    <xf numFmtId="166" fontId="0" fillId="0" borderId="36" xfId="0" applyNumberFormat="1" applyFont="1" applyBorder="1" applyAlignment="1">
      <alignment horizontal="center"/>
    </xf>
    <xf numFmtId="8" fontId="0" fillId="0" borderId="37" xfId="0" applyNumberFormat="1" applyFont="1" applyBorder="1" applyAlignment="1">
      <alignment horizontal="center"/>
    </xf>
    <xf numFmtId="165" fontId="0" fillId="0" borderId="37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3" fontId="1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6" fontId="0" fillId="0" borderId="0" xfId="0" applyNumberFormat="1" applyFont="1" applyBorder="1" applyAlignment="1">
      <alignment horizontal="center"/>
    </xf>
    <xf numFmtId="0" fontId="1" fillId="0" borderId="5" xfId="20" applyFont="1" applyFill="1" applyBorder="1" applyAlignment="1">
      <alignment horizontal="center" wrapText="1"/>
      <protection/>
    </xf>
    <xf numFmtId="0" fontId="0" fillId="0" borderId="0" xfId="20" applyFont="1" applyFill="1" applyBorder="1" applyAlignment="1">
      <alignment wrapText="1"/>
      <protection/>
    </xf>
    <xf numFmtId="0" fontId="0" fillId="0" borderId="0" xfId="20" applyFont="1" applyFill="1" applyBorder="1">
      <alignment/>
      <protection/>
    </xf>
    <xf numFmtId="0" fontId="1" fillId="0" borderId="27" xfId="20" applyFont="1" applyFill="1" applyBorder="1" applyAlignment="1">
      <alignment horizontal="center" wrapText="1"/>
      <protection/>
    </xf>
    <xf numFmtId="0" fontId="0" fillId="0" borderId="29" xfId="20" applyFont="1" applyFill="1" applyBorder="1" applyAlignment="1">
      <alignment wrapText="1"/>
      <protection/>
    </xf>
    <xf numFmtId="0" fontId="1" fillId="0" borderId="29" xfId="20" applyFont="1" applyFill="1" applyBorder="1">
      <alignment/>
      <protection/>
    </xf>
    <xf numFmtId="0" fontId="0" fillId="0" borderId="29" xfId="20" applyFont="1" applyFill="1" applyBorder="1">
      <alignment/>
      <protection/>
    </xf>
    <xf numFmtId="38" fontId="0" fillId="0" borderId="29" xfId="15" applyNumberFormat="1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29" xfId="0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6" fontId="0" fillId="0" borderId="29" xfId="0" applyNumberFormat="1" applyFont="1" applyBorder="1" applyAlignment="1">
      <alignment horizontal="center"/>
    </xf>
    <xf numFmtId="165" fontId="0" fillId="0" borderId="28" xfId="0" applyNumberFormat="1" applyFont="1" applyBorder="1" applyAlignment="1">
      <alignment horizontal="center"/>
    </xf>
    <xf numFmtId="166" fontId="0" fillId="0" borderId="31" xfId="0" applyNumberFormat="1" applyFont="1" applyBorder="1" applyAlignment="1">
      <alignment horizontal="center"/>
    </xf>
    <xf numFmtId="165" fontId="0" fillId="0" borderId="32" xfId="0" applyNumberFormat="1" applyFont="1" applyBorder="1" applyAlignment="1">
      <alignment horizontal="center"/>
    </xf>
    <xf numFmtId="8" fontId="0" fillId="0" borderId="32" xfId="0" applyNumberFormat="1" applyFont="1" applyBorder="1" applyAlignment="1">
      <alignment horizontal="center"/>
    </xf>
    <xf numFmtId="6" fontId="0" fillId="0" borderId="22" xfId="17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8" fontId="0" fillId="0" borderId="9" xfId="0" applyNumberFormat="1" applyFont="1" applyBorder="1" applyAlignment="1">
      <alignment horizontal="center"/>
    </xf>
    <xf numFmtId="8" fontId="0" fillId="0" borderId="38" xfId="0" applyNumberFormat="1" applyFont="1" applyBorder="1" applyAlignment="1">
      <alignment horizontal="center"/>
    </xf>
    <xf numFmtId="8" fontId="0" fillId="0" borderId="26" xfId="0" applyNumberFormat="1" applyFont="1" applyBorder="1" applyAlignment="1">
      <alignment horizontal="center"/>
    </xf>
    <xf numFmtId="165" fontId="0" fillId="0" borderId="39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0" fontId="7" fillId="0" borderId="0" xfId="20" applyFont="1" applyFill="1" applyBorder="1" applyAlignment="1">
      <alignment horizontal="center"/>
      <protection/>
    </xf>
    <xf numFmtId="0" fontId="7" fillId="0" borderId="6" xfId="20" applyFont="1" applyFill="1" applyBorder="1">
      <alignment/>
      <protection/>
    </xf>
    <xf numFmtId="0" fontId="7" fillId="0" borderId="6" xfId="0" applyFont="1" applyFill="1" applyBorder="1" applyAlignment="1">
      <alignment/>
    </xf>
    <xf numFmtId="3" fontId="7" fillId="0" borderId="6" xfId="0" applyNumberFormat="1" applyFont="1" applyFill="1" applyBorder="1" applyAlignment="1">
      <alignment horizontal="center"/>
    </xf>
    <xf numFmtId="164" fontId="7" fillId="0" borderId="6" xfId="21" applyNumberFormat="1" applyFont="1" applyFill="1" applyBorder="1" applyAlignment="1">
      <alignment horizontal="center"/>
    </xf>
    <xf numFmtId="164" fontId="7" fillId="0" borderId="12" xfId="21" applyNumberFormat="1" applyFont="1" applyFill="1" applyBorder="1" applyAlignment="1">
      <alignment horizontal="center"/>
    </xf>
    <xf numFmtId="164" fontId="1" fillId="0" borderId="6" xfId="21" applyNumberFormat="1" applyFont="1" applyFill="1" applyBorder="1" applyAlignment="1">
      <alignment horizontal="center"/>
    </xf>
    <xf numFmtId="164" fontId="7" fillId="0" borderId="11" xfId="21" applyNumberFormat="1" applyFont="1" applyFill="1" applyBorder="1" applyAlignment="1">
      <alignment horizontal="center"/>
    </xf>
    <xf numFmtId="164" fontId="7" fillId="0" borderId="41" xfId="21" applyNumberFormat="1" applyFont="1" applyFill="1" applyBorder="1" applyAlignment="1">
      <alignment horizontal="center"/>
    </xf>
    <xf numFmtId="164" fontId="7" fillId="0" borderId="42" xfId="21" applyNumberFormat="1" applyFont="1" applyFill="1" applyBorder="1" applyAlignment="1">
      <alignment horizontal="center"/>
    </xf>
    <xf numFmtId="164" fontId="7" fillId="0" borderId="43" xfId="21" applyNumberFormat="1" applyFont="1" applyFill="1" applyBorder="1" applyAlignment="1">
      <alignment horizontal="center"/>
    </xf>
    <xf numFmtId="164" fontId="7" fillId="0" borderId="44" xfId="21" applyNumberFormat="1" applyFont="1" applyFill="1" applyBorder="1" applyAlignment="1">
      <alignment horizontal="center"/>
    </xf>
    <xf numFmtId="164" fontId="7" fillId="0" borderId="45" xfId="21" applyNumberFormat="1" applyFont="1" applyFill="1" applyBorder="1" applyAlignment="1">
      <alignment horizontal="center"/>
    </xf>
    <xf numFmtId="164" fontId="7" fillId="0" borderId="46" xfId="21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" fontId="1" fillId="0" borderId="6" xfId="0" applyNumberFormat="1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6" xfId="20" applyFont="1" applyFill="1" applyBorder="1">
      <alignment/>
      <protection/>
    </xf>
    <xf numFmtId="0" fontId="10" fillId="0" borderId="6" xfId="20" applyFont="1" applyFill="1" applyBorder="1">
      <alignment/>
      <protection/>
    </xf>
    <xf numFmtId="3" fontId="10" fillId="0" borderId="6" xfId="0" applyNumberFormat="1" applyFont="1" applyFill="1" applyBorder="1" applyAlignment="1">
      <alignment/>
    </xf>
    <xf numFmtId="0" fontId="10" fillId="0" borderId="6" xfId="0" applyFont="1" applyFill="1" applyBorder="1" applyAlignment="1">
      <alignment/>
    </xf>
    <xf numFmtId="3" fontId="10" fillId="0" borderId="6" xfId="0" applyNumberFormat="1" applyFont="1" applyFill="1" applyBorder="1" applyAlignment="1">
      <alignment horizontal="center"/>
    </xf>
    <xf numFmtId="0" fontId="10" fillId="0" borderId="6" xfId="0" applyFont="1" applyBorder="1" applyAlignment="1">
      <alignment/>
    </xf>
    <xf numFmtId="4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9" fontId="10" fillId="0" borderId="6" xfId="17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47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4" fillId="8" borderId="5" xfId="0" applyFont="1" applyFill="1" applyBorder="1" applyAlignment="1">
      <alignment horizontal="center"/>
    </xf>
    <xf numFmtId="1" fontId="1" fillId="8" borderId="0" xfId="0" applyNumberFormat="1" applyFont="1" applyFill="1" applyBorder="1" applyAlignment="1">
      <alignment horizontal="left"/>
    </xf>
    <xf numFmtId="0" fontId="1" fillId="8" borderId="0" xfId="0" applyFont="1" applyFill="1" applyBorder="1" applyAlignment="1">
      <alignment horizontal="center"/>
    </xf>
    <xf numFmtId="0" fontId="1" fillId="8" borderId="14" xfId="20" applyFont="1" applyFill="1" applyBorder="1">
      <alignment/>
      <protection/>
    </xf>
    <xf numFmtId="0" fontId="0" fillId="8" borderId="0" xfId="0" applyFont="1" applyFill="1" applyAlignment="1">
      <alignment/>
    </xf>
    <xf numFmtId="3" fontId="0" fillId="8" borderId="0" xfId="0" applyNumberFormat="1" applyFont="1" applyFill="1" applyBorder="1" applyAlignment="1">
      <alignment/>
    </xf>
    <xf numFmtId="3" fontId="0" fillId="8" borderId="5" xfId="0" applyNumberFormat="1" applyFont="1" applyFill="1" applyBorder="1" applyAlignment="1">
      <alignment horizontal="center"/>
    </xf>
    <xf numFmtId="3" fontId="0" fillId="8" borderId="14" xfId="0" applyNumberFormat="1" applyFont="1" applyFill="1" applyBorder="1" applyAlignment="1">
      <alignment horizontal="center"/>
    </xf>
    <xf numFmtId="3" fontId="0" fillId="8" borderId="0" xfId="0" applyNumberFormat="1" applyFont="1" applyFill="1" applyBorder="1" applyAlignment="1">
      <alignment horizontal="center"/>
    </xf>
    <xf numFmtId="3" fontId="1" fillId="8" borderId="0" xfId="0" applyNumberFormat="1" applyFont="1" applyFill="1" applyBorder="1" applyAlignment="1">
      <alignment horizontal="center"/>
    </xf>
    <xf numFmtId="4" fontId="0" fillId="8" borderId="0" xfId="0" applyNumberFormat="1" applyFont="1" applyFill="1" applyBorder="1" applyAlignment="1">
      <alignment horizontal="center"/>
    </xf>
    <xf numFmtId="168" fontId="0" fillId="8" borderId="5" xfId="0" applyNumberFormat="1" applyFont="1" applyFill="1" applyBorder="1" applyAlignment="1">
      <alignment horizontal="center"/>
    </xf>
    <xf numFmtId="168" fontId="0" fillId="8" borderId="0" xfId="0" applyNumberFormat="1" applyFont="1" applyFill="1" applyBorder="1" applyAlignment="1">
      <alignment horizontal="center"/>
    </xf>
    <xf numFmtId="8" fontId="0" fillId="8" borderId="38" xfId="0" applyNumberFormat="1" applyFont="1" applyFill="1" applyBorder="1" applyAlignment="1">
      <alignment horizontal="center"/>
    </xf>
    <xf numFmtId="8" fontId="0" fillId="8" borderId="26" xfId="0" applyNumberFormat="1" applyFont="1" applyFill="1" applyBorder="1" applyAlignment="1">
      <alignment horizontal="center"/>
    </xf>
    <xf numFmtId="165" fontId="11" fillId="8" borderId="39" xfId="0" applyNumberFormat="1" applyFont="1" applyFill="1" applyBorder="1" applyAlignment="1">
      <alignment horizontal="center"/>
    </xf>
    <xf numFmtId="166" fontId="0" fillId="8" borderId="40" xfId="0" applyNumberFormat="1" applyFont="1" applyFill="1" applyBorder="1" applyAlignment="1">
      <alignment horizontal="center"/>
    </xf>
    <xf numFmtId="167" fontId="0" fillId="8" borderId="26" xfId="0" applyNumberFormat="1" applyFont="1" applyFill="1" applyBorder="1" applyAlignment="1">
      <alignment horizontal="center"/>
    </xf>
    <xf numFmtId="8" fontId="0" fillId="8" borderId="25" xfId="0" applyNumberFormat="1" applyFont="1" applyFill="1" applyBorder="1" applyAlignment="1">
      <alignment horizontal="center"/>
    </xf>
    <xf numFmtId="165" fontId="0" fillId="8" borderId="25" xfId="0" applyNumberFormat="1" applyFont="1" applyFill="1" applyBorder="1" applyAlignment="1">
      <alignment horizontal="center"/>
    </xf>
    <xf numFmtId="0" fontId="4" fillId="0" borderId="5" xfId="20" applyFont="1" applyFill="1" applyBorder="1" applyAlignment="1">
      <alignment horizontal="center"/>
      <protection/>
    </xf>
    <xf numFmtId="1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168" fontId="0" fillId="0" borderId="5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8" fontId="11" fillId="0" borderId="0" xfId="0" applyNumberFormat="1" applyFont="1" applyBorder="1" applyAlignment="1">
      <alignment horizontal="center"/>
    </xf>
    <xf numFmtId="166" fontId="11" fillId="0" borderId="23" xfId="0" applyNumberFormat="1" applyFont="1" applyBorder="1" applyAlignment="1">
      <alignment horizontal="center"/>
    </xf>
    <xf numFmtId="8" fontId="11" fillId="0" borderId="24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8" fontId="4" fillId="0" borderId="22" xfId="0" applyNumberFormat="1" applyFont="1" applyFill="1" applyBorder="1" applyAlignment="1">
      <alignment horizontal="center"/>
    </xf>
    <xf numFmtId="8" fontId="4" fillId="0" borderId="0" xfId="0" applyNumberFormat="1" applyFont="1" applyFill="1" applyBorder="1" applyAlignment="1">
      <alignment horizontal="center"/>
    </xf>
    <xf numFmtId="166" fontId="4" fillId="0" borderId="23" xfId="0" applyNumberFormat="1" applyFont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8" fontId="4" fillId="0" borderId="24" xfId="0" applyNumberFormat="1" applyFont="1" applyFill="1" applyBorder="1" applyAlignment="1">
      <alignment horizontal="center"/>
    </xf>
    <xf numFmtId="8" fontId="4" fillId="0" borderId="0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0" fontId="4" fillId="0" borderId="27" xfId="20" applyFont="1" applyFill="1" applyBorder="1" applyAlignment="1">
      <alignment horizontal="center"/>
      <protection/>
    </xf>
    <xf numFmtId="1" fontId="1" fillId="0" borderId="29" xfId="0" applyNumberFormat="1" applyFont="1" applyFill="1" applyBorder="1" applyAlignment="1">
      <alignment horizontal="left"/>
    </xf>
    <xf numFmtId="0" fontId="1" fillId="0" borderId="29" xfId="0" applyFont="1" applyFill="1" applyBorder="1" applyAlignment="1">
      <alignment horizontal="center"/>
    </xf>
    <xf numFmtId="0" fontId="1" fillId="0" borderId="28" xfId="20" applyFont="1" applyFill="1" applyBorder="1">
      <alignment/>
      <protection/>
    </xf>
    <xf numFmtId="3" fontId="0" fillId="0" borderId="29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center"/>
    </xf>
    <xf numFmtId="3" fontId="1" fillId="0" borderId="29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168" fontId="0" fillId="0" borderId="27" xfId="0" applyNumberFormat="1" applyFont="1" applyFill="1" applyBorder="1" applyAlignment="1">
      <alignment horizontal="center"/>
    </xf>
    <xf numFmtId="168" fontId="0" fillId="0" borderId="29" xfId="0" applyNumberFormat="1" applyFont="1" applyFill="1" applyBorder="1" applyAlignment="1">
      <alignment horizontal="center"/>
    </xf>
    <xf numFmtId="8" fontId="11" fillId="0" borderId="30" xfId="0" applyNumberFormat="1" applyFont="1" applyFill="1" applyBorder="1" applyAlignment="1">
      <alignment horizontal="center"/>
    </xf>
    <xf numFmtId="167" fontId="11" fillId="0" borderId="29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1" fillId="0" borderId="6" xfId="0" applyNumberFormat="1" applyFont="1" applyFill="1" applyBorder="1" applyAlignment="1">
      <alignment horizontal="center" vertical="center"/>
    </xf>
    <xf numFmtId="4" fontId="0" fillId="0" borderId="6" xfId="0" applyNumberFormat="1" applyFont="1" applyFill="1" applyBorder="1" applyAlignment="1">
      <alignment horizontal="center" vertical="center"/>
    </xf>
    <xf numFmtId="168" fontId="0" fillId="0" borderId="15" xfId="0" applyNumberFormat="1" applyFont="1" applyFill="1" applyBorder="1" applyAlignment="1">
      <alignment horizontal="center" vertical="center"/>
    </xf>
    <xf numFmtId="168" fontId="0" fillId="0" borderId="6" xfId="0" applyNumberFormat="1" applyFont="1" applyFill="1" applyBorder="1" applyAlignment="1">
      <alignment horizontal="center" vertical="center"/>
    </xf>
    <xf numFmtId="8" fontId="0" fillId="0" borderId="48" xfId="0" applyNumberFormat="1" applyFont="1" applyFill="1" applyBorder="1" applyAlignment="1">
      <alignment horizontal="center" vertical="center"/>
    </xf>
    <xf numFmtId="8" fontId="0" fillId="0" borderId="49" xfId="0" applyNumberFormat="1" applyFont="1" applyBorder="1" applyAlignment="1">
      <alignment horizontal="center" vertical="center"/>
    </xf>
    <xf numFmtId="8" fontId="0" fillId="0" borderId="47" xfId="0" applyNumberFormat="1" applyFont="1" applyBorder="1" applyAlignment="1">
      <alignment horizontal="center" vertical="center"/>
    </xf>
    <xf numFmtId="165" fontId="0" fillId="0" borderId="50" xfId="0" applyNumberFormat="1" applyFont="1" applyBorder="1" applyAlignment="1">
      <alignment horizontal="center" vertical="center"/>
    </xf>
    <xf numFmtId="166" fontId="0" fillId="0" borderId="18" xfId="0" applyNumberFormat="1" applyFont="1" applyBorder="1" applyAlignment="1">
      <alignment horizontal="center" vertical="center"/>
    </xf>
    <xf numFmtId="167" fontId="0" fillId="0" borderId="47" xfId="0" applyNumberFormat="1" applyFont="1" applyFill="1" applyBorder="1" applyAlignment="1">
      <alignment horizontal="center" vertical="center"/>
    </xf>
    <xf numFmtId="8" fontId="0" fillId="0" borderId="45" xfId="0" applyNumberFormat="1" applyFont="1" applyBorder="1" applyAlignment="1">
      <alignment horizontal="center" vertical="center"/>
    </xf>
    <xf numFmtId="165" fontId="0" fillId="0" borderId="45" xfId="0" applyNumberFormat="1" applyFont="1" applyBorder="1" applyAlignment="1">
      <alignment horizontal="center" vertical="center"/>
    </xf>
    <xf numFmtId="8" fontId="0" fillId="0" borderId="47" xfId="0" applyNumberFormat="1" applyFont="1" applyBorder="1" applyAlignment="1">
      <alignment horizontal="center"/>
    </xf>
    <xf numFmtId="8" fontId="0" fillId="0" borderId="45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" fontId="8" fillId="6" borderId="10" xfId="0" applyNumberFormat="1" applyFont="1" applyFill="1" applyBorder="1" applyAlignment="1" quotePrefix="1">
      <alignment horizontal="left"/>
    </xf>
    <xf numFmtId="4" fontId="12" fillId="6" borderId="11" xfId="0" applyNumberFormat="1" applyFont="1" applyFill="1" applyBorder="1" applyAlignment="1" quotePrefix="1">
      <alignment horizontal="left"/>
    </xf>
    <xf numFmtId="3" fontId="0" fillId="6" borderId="11" xfId="0" applyNumberFormat="1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168" fontId="0" fillId="6" borderId="11" xfId="0" applyNumberFormat="1" applyFont="1" applyFill="1" applyBorder="1" applyAlignment="1">
      <alignment horizontal="center"/>
    </xf>
    <xf numFmtId="0" fontId="0" fillId="6" borderId="11" xfId="0" applyFont="1" applyFill="1" applyBorder="1" applyAlignment="1">
      <alignment/>
    </xf>
    <xf numFmtId="8" fontId="7" fillId="6" borderId="38" xfId="0" applyNumberFormat="1" applyFont="1" applyFill="1" applyBorder="1" applyAlignment="1">
      <alignment horizontal="center"/>
    </xf>
    <xf numFmtId="8" fontId="7" fillId="6" borderId="26" xfId="0" applyNumberFormat="1" applyFont="1" applyFill="1" applyBorder="1" applyAlignment="1">
      <alignment horizontal="center"/>
    </xf>
    <xf numFmtId="165" fontId="7" fillId="6" borderId="26" xfId="0" applyNumberFormat="1" applyFont="1" applyFill="1" applyBorder="1" applyAlignment="1">
      <alignment horizontal="center"/>
    </xf>
    <xf numFmtId="166" fontId="7" fillId="6" borderId="26" xfId="0" applyNumberFormat="1" applyFont="1" applyFill="1" applyBorder="1" applyAlignment="1">
      <alignment horizontal="center"/>
    </xf>
    <xf numFmtId="170" fontId="7" fillId="6" borderId="26" xfId="0" applyNumberFormat="1" applyFont="1" applyFill="1" applyBorder="1" applyAlignment="1">
      <alignment horizontal="center"/>
    </xf>
    <xf numFmtId="8" fontId="7" fillId="6" borderId="25" xfId="0" applyNumberFormat="1" applyFont="1" applyFill="1" applyBorder="1" applyAlignment="1">
      <alignment horizontal="center"/>
    </xf>
    <xf numFmtId="165" fontId="7" fillId="6" borderId="25" xfId="0" applyNumberFormat="1" applyFont="1" applyFill="1" applyBorder="1" applyAlignment="1">
      <alignment horizontal="center"/>
    </xf>
    <xf numFmtId="8" fontId="7" fillId="6" borderId="2" xfId="0" applyNumberFormat="1" applyFont="1" applyFill="1" applyBorder="1" applyAlignment="1">
      <alignment horizontal="center"/>
    </xf>
    <xf numFmtId="8" fontId="7" fillId="6" borderId="3" xfId="0" applyNumberFormat="1" applyFont="1" applyFill="1" applyBorder="1" applyAlignment="1">
      <alignment horizontal="center"/>
    </xf>
    <xf numFmtId="3" fontId="8" fillId="5" borderId="10" xfId="0" applyNumberFormat="1" applyFont="1" applyFill="1" applyBorder="1" applyAlignment="1">
      <alignment horizontal="left"/>
    </xf>
    <xf numFmtId="3" fontId="12" fillId="5" borderId="11" xfId="0" applyNumberFormat="1" applyFont="1" applyFill="1" applyBorder="1" applyAlignment="1">
      <alignment horizontal="left"/>
    </xf>
    <xf numFmtId="0" fontId="0" fillId="5" borderId="11" xfId="0" applyFont="1" applyFill="1" applyBorder="1" applyAlignment="1">
      <alignment horizontal="center"/>
    </xf>
    <xf numFmtId="6" fontId="0" fillId="5" borderId="11" xfId="17" applyNumberFormat="1" applyFont="1" applyFill="1" applyBorder="1" applyAlignment="1">
      <alignment horizontal="center"/>
    </xf>
    <xf numFmtId="0" fontId="0" fillId="5" borderId="11" xfId="0" applyFont="1" applyFill="1" applyBorder="1" applyAlignment="1">
      <alignment/>
    </xf>
    <xf numFmtId="8" fontId="7" fillId="5" borderId="48" xfId="0" applyNumberFormat="1" applyFont="1" applyFill="1" applyBorder="1" applyAlignment="1">
      <alignment horizontal="center"/>
    </xf>
    <xf numFmtId="8" fontId="7" fillId="5" borderId="47" xfId="0" applyNumberFormat="1" applyFont="1" applyFill="1" applyBorder="1" applyAlignment="1">
      <alignment horizontal="center"/>
    </xf>
    <xf numFmtId="165" fontId="7" fillId="5" borderId="47" xfId="0" applyNumberFormat="1" applyFont="1" applyFill="1" applyBorder="1" applyAlignment="1">
      <alignment horizontal="center"/>
    </xf>
    <xf numFmtId="166" fontId="7" fillId="5" borderId="47" xfId="0" applyNumberFormat="1" applyFont="1" applyFill="1" applyBorder="1" applyAlignment="1">
      <alignment horizontal="center"/>
    </xf>
    <xf numFmtId="170" fontId="7" fillId="5" borderId="47" xfId="0" applyNumberFormat="1" applyFont="1" applyFill="1" applyBorder="1" applyAlignment="1">
      <alignment horizontal="center"/>
    </xf>
    <xf numFmtId="8" fontId="7" fillId="5" borderId="45" xfId="0" applyNumberFormat="1" applyFont="1" applyFill="1" applyBorder="1" applyAlignment="1">
      <alignment horizontal="center"/>
    </xf>
    <xf numFmtId="165" fontId="7" fillId="5" borderId="45" xfId="0" applyNumberFormat="1" applyFont="1" applyFill="1" applyBorder="1" applyAlignment="1">
      <alignment horizontal="center"/>
    </xf>
    <xf numFmtId="8" fontId="7" fillId="5" borderId="6" xfId="0" applyNumberFormat="1" applyFont="1" applyFill="1" applyBorder="1" applyAlignment="1">
      <alignment horizontal="center"/>
    </xf>
    <xf numFmtId="8" fontId="7" fillId="5" borderId="16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left"/>
    </xf>
    <xf numFmtId="6" fontId="0" fillId="0" borderId="0" xfId="17" applyNumberFormat="1" applyFont="1" applyFill="1" applyBorder="1" applyAlignment="1">
      <alignment horizontal="center"/>
    </xf>
    <xf numFmtId="8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4" fillId="0" borderId="51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1" fontId="1" fillId="0" borderId="8" xfId="0" applyNumberFormat="1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1" fillId="0" borderId="8" xfId="20" applyFont="1" applyFill="1" applyBorder="1">
      <alignment/>
      <protection/>
    </xf>
    <xf numFmtId="0" fontId="0" fillId="0" borderId="8" xfId="20" applyFont="1" applyFill="1" applyBorder="1">
      <alignment/>
      <protection/>
    </xf>
    <xf numFmtId="3" fontId="0" fillId="0" borderId="8" xfId="0" applyNumberFormat="1" applyFont="1" applyFill="1" applyBorder="1" applyAlignment="1" quotePrefix="1">
      <alignment horizontal="right"/>
    </xf>
    <xf numFmtId="3" fontId="0" fillId="0" borderId="8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171" fontId="0" fillId="0" borderId="8" xfId="15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168" fontId="0" fillId="0" borderId="8" xfId="0" applyNumberFormat="1" applyFont="1" applyBorder="1" applyAlignment="1">
      <alignment horizontal="center"/>
    </xf>
    <xf numFmtId="8" fontId="0" fillId="0" borderId="51" xfId="0" applyNumberFormat="1" applyFont="1" applyFill="1" applyBorder="1" applyAlignment="1">
      <alignment horizontal="center"/>
    </xf>
    <xf numFmtId="8" fontId="0" fillId="0" borderId="8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166" fontId="0" fillId="0" borderId="52" xfId="0" applyNumberFormat="1" applyFont="1" applyBorder="1" applyAlignment="1">
      <alignment horizontal="center"/>
    </xf>
    <xf numFmtId="167" fontId="0" fillId="0" borderId="8" xfId="0" applyNumberFormat="1" applyFont="1" applyFill="1" applyBorder="1" applyAlignment="1">
      <alignment horizontal="center"/>
    </xf>
    <xf numFmtId="8" fontId="0" fillId="0" borderId="7" xfId="0" applyNumberFormat="1" applyFont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0" fontId="0" fillId="0" borderId="38" xfId="20" applyFont="1" applyFill="1" applyBorder="1" applyAlignment="1">
      <alignment horizontal="center"/>
      <protection/>
    </xf>
    <xf numFmtId="0" fontId="0" fillId="0" borderId="22" xfId="20" applyFont="1" applyFill="1" applyBorder="1" applyAlignment="1">
      <alignment horizontal="center"/>
      <protection/>
    </xf>
    <xf numFmtId="0" fontId="0" fillId="0" borderId="53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center" wrapText="1"/>
      <protection/>
    </xf>
    <xf numFmtId="0" fontId="0" fillId="0" borderId="2" xfId="20" applyFont="1" applyFill="1" applyBorder="1" applyAlignment="1">
      <alignment wrapText="1"/>
      <protection/>
    </xf>
    <xf numFmtId="0" fontId="1" fillId="0" borderId="2" xfId="20" applyFont="1" applyFill="1" applyBorder="1">
      <alignment/>
      <protection/>
    </xf>
    <xf numFmtId="0" fontId="0" fillId="0" borderId="2" xfId="20" applyFont="1" applyFill="1" applyBorder="1">
      <alignment/>
      <protection/>
    </xf>
    <xf numFmtId="0" fontId="0" fillId="0" borderId="2" xfId="0" applyFont="1" applyFill="1" applyBorder="1" applyAlignment="1">
      <alignment/>
    </xf>
    <xf numFmtId="172" fontId="0" fillId="0" borderId="54" xfId="17" applyNumberFormat="1" applyFont="1" applyBorder="1" applyAlignment="1">
      <alignment horizontal="center"/>
    </xf>
    <xf numFmtId="44" fontId="0" fillId="0" borderId="24" xfId="17" applyFont="1" applyBorder="1" applyAlignment="1">
      <alignment horizontal="center"/>
    </xf>
    <xf numFmtId="172" fontId="0" fillId="0" borderId="24" xfId="17" applyNumberFormat="1" applyFont="1" applyBorder="1" applyAlignment="1">
      <alignment horizontal="center"/>
    </xf>
    <xf numFmtId="0" fontId="0" fillId="0" borderId="48" xfId="20" applyFont="1" applyFill="1" applyBorder="1" applyAlignment="1">
      <alignment horizontal="center"/>
      <protection/>
    </xf>
    <xf numFmtId="0" fontId="1" fillId="0" borderId="47" xfId="20" applyFont="1" applyFill="1" applyBorder="1" applyAlignment="1">
      <alignment horizontal="center" wrapText="1"/>
      <protection/>
    </xf>
    <xf numFmtId="0" fontId="0" fillId="0" borderId="47" xfId="20" applyFont="1" applyFill="1" applyBorder="1" applyAlignment="1">
      <alignment wrapText="1"/>
      <protection/>
    </xf>
    <xf numFmtId="0" fontId="1" fillId="0" borderId="47" xfId="20" applyFont="1" applyFill="1" applyBorder="1">
      <alignment/>
      <protection/>
    </xf>
    <xf numFmtId="0" fontId="0" fillId="0" borderId="47" xfId="20" applyFont="1" applyFill="1" applyBorder="1">
      <alignment/>
      <protection/>
    </xf>
    <xf numFmtId="0" fontId="0" fillId="0" borderId="47" xfId="0" applyFont="1" applyFill="1" applyBorder="1" applyAlignment="1">
      <alignment/>
    </xf>
    <xf numFmtId="0" fontId="0" fillId="0" borderId="47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10" fontId="0" fillId="0" borderId="45" xfId="21" applyNumberFormat="1" applyFont="1" applyBorder="1" applyAlignment="1">
      <alignment horizontal="center"/>
    </xf>
    <xf numFmtId="10" fontId="0" fillId="0" borderId="0" xfId="21" applyNumberFormat="1" applyFont="1" applyBorder="1" applyAlignment="1">
      <alignment horizontal="center"/>
    </xf>
    <xf numFmtId="0" fontId="4" fillId="0" borderId="0" xfId="20" applyFont="1" applyFill="1" applyBorder="1" applyAlignment="1">
      <alignment wrapText="1"/>
      <protection/>
    </xf>
    <xf numFmtId="0" fontId="4" fillId="0" borderId="0" xfId="0" applyFont="1" applyBorder="1" applyAlignment="1">
      <alignment wrapText="1"/>
    </xf>
    <xf numFmtId="164" fontId="0" fillId="0" borderId="0" xfId="21" applyNumberFormat="1" applyFont="1" applyFill="1" applyBorder="1" applyAlignment="1">
      <alignment horizontal="center"/>
    </xf>
    <xf numFmtId="164" fontId="1" fillId="0" borderId="0" xfId="21" applyNumberFormat="1" applyFont="1" applyFill="1" applyBorder="1" applyAlignment="1">
      <alignment horizontal="center"/>
    </xf>
    <xf numFmtId="164" fontId="0" fillId="0" borderId="6" xfId="21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right" wrapText="1"/>
    </xf>
    <xf numFmtId="1" fontId="1" fillId="0" borderId="1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1" xfId="20" applyFont="1" applyFill="1" applyBorder="1">
      <alignment/>
      <protection/>
    </xf>
    <xf numFmtId="0" fontId="0" fillId="0" borderId="11" xfId="20" applyFont="1" applyFill="1" applyBorder="1">
      <alignment/>
      <protection/>
    </xf>
    <xf numFmtId="0" fontId="0" fillId="0" borderId="11" xfId="0" applyFont="1" applyFill="1" applyBorder="1" applyAlignment="1" quotePrefix="1">
      <alignment horizontal="right"/>
    </xf>
    <xf numFmtId="0" fontId="0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171" fontId="0" fillId="0" borderId="11" xfId="15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 wrapText="1"/>
    </xf>
    <xf numFmtId="0" fontId="0" fillId="0" borderId="5" xfId="19" applyFont="1" applyFill="1" applyBorder="1">
      <alignment/>
      <protection/>
    </xf>
    <xf numFmtId="0" fontId="1" fillId="0" borderId="0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171" fontId="0" fillId="0" borderId="0" xfId="15" applyNumberFormat="1" applyFont="1" applyFill="1" applyBorder="1" applyAlignment="1">
      <alignment horizontal="center"/>
    </xf>
    <xf numFmtId="171" fontId="0" fillId="0" borderId="5" xfId="15" applyNumberFormat="1" applyFont="1" applyFill="1" applyBorder="1" applyAlignment="1">
      <alignment horizontal="center"/>
    </xf>
    <xf numFmtId="171" fontId="0" fillId="0" borderId="14" xfId="15" applyNumberFormat="1" applyFont="1" applyFill="1" applyBorder="1" applyAlignment="1">
      <alignment horizontal="center"/>
    </xf>
    <xf numFmtId="8" fontId="0" fillId="0" borderId="0" xfId="0" applyNumberFormat="1" applyFont="1" applyFill="1" applyAlignment="1">
      <alignment/>
    </xf>
    <xf numFmtId="171" fontId="1" fillId="0" borderId="0" xfId="15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6" fontId="0" fillId="0" borderId="5" xfId="0" applyNumberFormat="1" applyFont="1" applyFill="1" applyBorder="1" applyAlignment="1">
      <alignment horizontal="center"/>
    </xf>
    <xf numFmtId="168" fontId="0" fillId="0" borderId="0" xfId="17" applyNumberFormat="1" applyFont="1" applyFill="1" applyBorder="1" applyAlignment="1">
      <alignment horizontal="center"/>
    </xf>
    <xf numFmtId="167" fontId="0" fillId="0" borderId="26" xfId="0" applyNumberFormat="1" applyFont="1" applyFill="1" applyBorder="1" applyAlignment="1">
      <alignment horizontal="center"/>
    </xf>
    <xf numFmtId="0" fontId="0" fillId="0" borderId="27" xfId="19" applyFont="1" applyFill="1" applyBorder="1">
      <alignment/>
      <protection/>
    </xf>
    <xf numFmtId="0" fontId="1" fillId="0" borderId="29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171" fontId="0" fillId="0" borderId="29" xfId="15" applyNumberFormat="1" applyFont="1" applyFill="1" applyBorder="1" applyAlignment="1">
      <alignment horizontal="center"/>
    </xf>
    <xf numFmtId="171" fontId="0" fillId="0" borderId="27" xfId="15" applyNumberFormat="1" applyFont="1" applyFill="1" applyBorder="1" applyAlignment="1">
      <alignment horizontal="center"/>
    </xf>
    <xf numFmtId="171" fontId="0" fillId="0" borderId="28" xfId="15" applyNumberFormat="1" applyFont="1" applyFill="1" applyBorder="1" applyAlignment="1">
      <alignment horizontal="center"/>
    </xf>
    <xf numFmtId="8" fontId="0" fillId="0" borderId="29" xfId="0" applyNumberFormat="1" applyFont="1" applyFill="1" applyBorder="1" applyAlignment="1">
      <alignment/>
    </xf>
    <xf numFmtId="171" fontId="1" fillId="0" borderId="29" xfId="15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6" fontId="0" fillId="0" borderId="27" xfId="0" applyNumberFormat="1" applyFont="1" applyFill="1" applyBorder="1" applyAlignment="1">
      <alignment horizontal="center"/>
    </xf>
    <xf numFmtId="168" fontId="0" fillId="0" borderId="29" xfId="17" applyNumberFormat="1" applyFont="1" applyFill="1" applyBorder="1" applyAlignment="1">
      <alignment horizontal="center"/>
    </xf>
    <xf numFmtId="168" fontId="0" fillId="0" borderId="29" xfId="17" applyNumberFormat="1" applyFont="1" applyBorder="1" applyAlignment="1">
      <alignment horizontal="center"/>
    </xf>
    <xf numFmtId="1" fontId="0" fillId="0" borderId="5" xfId="0" applyNumberFormat="1" applyFont="1" applyFill="1" applyBorder="1" applyAlignment="1">
      <alignment wrapText="1"/>
    </xf>
    <xf numFmtId="0" fontId="1" fillId="0" borderId="0" xfId="19" applyFont="1" applyFill="1" applyBorder="1">
      <alignment/>
      <protection/>
    </xf>
    <xf numFmtId="171" fontId="0" fillId="0" borderId="0" xfId="15" applyNumberFormat="1" applyFont="1" applyBorder="1" applyAlignment="1">
      <alignment horizontal="center"/>
    </xf>
    <xf numFmtId="171" fontId="0" fillId="0" borderId="5" xfId="15" applyNumberFormat="1" applyFont="1" applyBorder="1" applyAlignment="1">
      <alignment horizontal="center"/>
    </xf>
    <xf numFmtId="171" fontId="0" fillId="0" borderId="14" xfId="15" applyNumberFormat="1" applyFont="1" applyBorder="1" applyAlignment="1">
      <alignment horizontal="center"/>
    </xf>
    <xf numFmtId="8" fontId="0" fillId="0" borderId="0" xfId="0" applyNumberFormat="1" applyFont="1" applyAlignment="1">
      <alignment/>
    </xf>
    <xf numFmtId="171" fontId="1" fillId="0" borderId="0" xfId="15" applyNumberFormat="1" applyFont="1" applyBorder="1" applyAlignment="1">
      <alignment horizontal="center"/>
    </xf>
    <xf numFmtId="168" fontId="0" fillId="0" borderId="0" xfId="17" applyNumberFormat="1" applyFont="1" applyBorder="1" applyAlignment="1">
      <alignment horizontal="center"/>
    </xf>
    <xf numFmtId="0" fontId="0" fillId="0" borderId="6" xfId="0" applyFont="1" applyFill="1" applyBorder="1" applyAlignment="1">
      <alignment/>
    </xf>
    <xf numFmtId="171" fontId="0" fillId="0" borderId="14" xfId="0" applyNumberFormat="1" applyFont="1" applyBorder="1" applyAlignment="1">
      <alignment horizontal="center"/>
    </xf>
    <xf numFmtId="0" fontId="0" fillId="0" borderId="5" xfId="0" applyFont="1" applyFill="1" applyBorder="1" applyAlignment="1">
      <alignment horizontal="left" wrapText="1"/>
    </xf>
    <xf numFmtId="0" fontId="0" fillId="0" borderId="0" xfId="0" applyFont="1" applyFill="1" applyBorder="1" applyAlignment="1" quotePrefix="1">
      <alignment horizontal="right"/>
    </xf>
    <xf numFmtId="0" fontId="0" fillId="0" borderId="5" xfId="0" applyFont="1" applyFill="1" applyBorder="1" applyAlignment="1" quotePrefix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71" fontId="0" fillId="0" borderId="0" xfId="15" applyNumberFormat="1" applyFont="1" applyAlignment="1">
      <alignment horizontal="center"/>
    </xf>
    <xf numFmtId="1" fontId="0" fillId="0" borderId="5" xfId="0" applyNumberFormat="1" applyFont="1" applyFill="1" applyBorder="1" applyAlignment="1">
      <alignment horizontal="left" wrapText="1"/>
    </xf>
    <xf numFmtId="171" fontId="0" fillId="0" borderId="0" xfId="0" applyNumberFormat="1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5" xfId="0" applyFont="1" applyFill="1" applyBorder="1" applyAlignment="1">
      <alignment horizontal="right" wrapText="1"/>
    </xf>
    <xf numFmtId="0" fontId="0" fillId="0" borderId="0" xfId="0" applyFont="1" applyFill="1" applyAlignment="1" quotePrefix="1">
      <alignment horizontal="right"/>
    </xf>
    <xf numFmtId="171" fontId="0" fillId="0" borderId="29" xfId="15" applyNumberFormat="1" applyFont="1" applyBorder="1" applyAlignment="1">
      <alignment horizontal="center"/>
    </xf>
    <xf numFmtId="171" fontId="0" fillId="0" borderId="27" xfId="15" applyNumberFormat="1" applyFont="1" applyBorder="1" applyAlignment="1">
      <alignment horizontal="center"/>
    </xf>
    <xf numFmtId="171" fontId="0" fillId="0" borderId="28" xfId="15" applyNumberFormat="1" applyFont="1" applyBorder="1" applyAlignment="1">
      <alignment horizontal="center"/>
    </xf>
    <xf numFmtId="171" fontId="1" fillId="0" borderId="29" xfId="15" applyNumberFormat="1" applyFont="1" applyBorder="1" applyAlignment="1">
      <alignment horizontal="center"/>
    </xf>
    <xf numFmtId="169" fontId="0" fillId="0" borderId="0" xfId="17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4" fontId="0" fillId="0" borderId="3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8" fontId="0" fillId="0" borderId="2" xfId="0" applyNumberFormat="1" applyFont="1" applyFill="1" applyBorder="1" applyAlignment="1">
      <alignment horizontal="center"/>
    </xf>
    <xf numFmtId="8" fontId="0" fillId="0" borderId="55" xfId="0" applyNumberFormat="1" applyFont="1" applyBorder="1" applyAlignment="1">
      <alignment horizontal="center"/>
    </xf>
    <xf numFmtId="8" fontId="0" fillId="0" borderId="6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167" fontId="0" fillId="0" borderId="6" xfId="0" applyNumberFormat="1" applyFont="1" applyFill="1" applyBorder="1" applyAlignment="1">
      <alignment horizontal="center"/>
    </xf>
    <xf numFmtId="8" fontId="0" fillId="0" borderId="56" xfId="0" applyNumberFormat="1" applyFont="1" applyBorder="1" applyAlignment="1">
      <alignment horizontal="center"/>
    </xf>
    <xf numFmtId="165" fontId="0" fillId="0" borderId="56" xfId="0" applyNumberFormat="1" applyFont="1" applyBorder="1" applyAlignment="1">
      <alignment horizontal="center"/>
    </xf>
    <xf numFmtId="0" fontId="7" fillId="0" borderId="0" xfId="20" applyFont="1" applyFill="1" applyAlignment="1">
      <alignment horizontal="center" wrapText="1"/>
      <protection/>
    </xf>
    <xf numFmtId="0" fontId="7" fillId="0" borderId="0" xfId="20" applyFont="1" applyFill="1">
      <alignment/>
      <protection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164" fontId="7" fillId="0" borderId="15" xfId="21" applyNumberFormat="1" applyFont="1" applyFill="1" applyBorder="1" applyAlignment="1">
      <alignment horizontal="center"/>
    </xf>
    <xf numFmtId="164" fontId="7" fillId="0" borderId="16" xfId="21" applyNumberFormat="1" applyFont="1" applyFill="1" applyBorder="1" applyAlignment="1">
      <alignment horizontal="center"/>
    </xf>
    <xf numFmtId="164" fontId="7" fillId="0" borderId="0" xfId="21" applyNumberFormat="1" applyFont="1" applyFill="1" applyBorder="1" applyAlignment="1">
      <alignment horizontal="center"/>
    </xf>
    <xf numFmtId="164" fontId="1" fillId="0" borderId="11" xfId="21" applyNumberFormat="1" applyFont="1" applyFill="1" applyBorder="1" applyAlignment="1">
      <alignment horizontal="center"/>
    </xf>
    <xf numFmtId="164" fontId="7" fillId="0" borderId="10" xfId="21" applyNumberFormat="1" applyFont="1" applyFill="1" applyBorder="1" applyAlignment="1">
      <alignment horizontal="center"/>
    </xf>
    <xf numFmtId="164" fontId="7" fillId="0" borderId="48" xfId="21" applyNumberFormat="1" applyFont="1" applyFill="1" applyBorder="1" applyAlignment="1">
      <alignment horizontal="center"/>
    </xf>
    <xf numFmtId="164" fontId="7" fillId="0" borderId="47" xfId="21" applyNumberFormat="1" applyFont="1" applyFill="1" applyBorder="1" applyAlignment="1">
      <alignment horizontal="center"/>
    </xf>
    <xf numFmtId="164" fontId="7" fillId="0" borderId="50" xfId="21" applyNumberFormat="1" applyFont="1" applyFill="1" applyBorder="1" applyAlignment="1">
      <alignment horizontal="center"/>
    </xf>
    <xf numFmtId="164" fontId="7" fillId="0" borderId="18" xfId="21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 wrapText="1"/>
    </xf>
    <xf numFmtId="1" fontId="1" fillId="0" borderId="0" xfId="0" applyNumberFormat="1" applyFont="1" applyFill="1" applyAlignment="1">
      <alignment horizontal="left"/>
    </xf>
    <xf numFmtId="0" fontId="0" fillId="0" borderId="57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3" fontId="0" fillId="0" borderId="11" xfId="0" applyNumberFormat="1" applyFont="1" applyFill="1" applyBorder="1" applyAlignment="1" quotePrefix="1">
      <alignment horizontal="right"/>
    </xf>
    <xf numFmtId="3" fontId="0" fillId="0" borderId="11" xfId="0" applyNumberFormat="1" applyFont="1" applyFill="1" applyBorder="1" applyAlignment="1">
      <alignment/>
    </xf>
    <xf numFmtId="169" fontId="0" fillId="0" borderId="11" xfId="17" applyNumberFormat="1" applyFont="1" applyBorder="1" applyAlignment="1">
      <alignment horizontal="center"/>
    </xf>
    <xf numFmtId="8" fontId="0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4" fontId="0" fillId="8" borderId="14" xfId="0" applyNumberFormat="1" applyFont="1" applyFill="1" applyBorder="1" applyAlignment="1">
      <alignment horizontal="center"/>
    </xf>
    <xf numFmtId="165" fontId="0" fillId="8" borderId="39" xfId="0" applyNumberFormat="1" applyFont="1" applyFill="1" applyBorder="1" applyAlignment="1">
      <alignment horizontal="center"/>
    </xf>
    <xf numFmtId="8" fontId="0" fillId="8" borderId="0" xfId="0" applyNumberFormat="1" applyFont="1" applyFill="1" applyBorder="1" applyAlignment="1">
      <alignment horizontal="center"/>
    </xf>
    <xf numFmtId="8" fontId="0" fillId="8" borderId="24" xfId="0" applyNumberFormat="1" applyFont="1" applyFill="1" applyBorder="1" applyAlignment="1">
      <alignment horizontal="center"/>
    </xf>
    <xf numFmtId="168" fontId="0" fillId="0" borderId="24" xfId="0" applyNumberFormat="1" applyFont="1" applyFill="1" applyBorder="1" applyAlignment="1">
      <alignment horizontal="center"/>
    </xf>
    <xf numFmtId="168" fontId="0" fillId="0" borderId="32" xfId="0" applyNumberFormat="1" applyFont="1" applyFill="1" applyBorder="1" applyAlignment="1">
      <alignment horizontal="center"/>
    </xf>
    <xf numFmtId="165" fontId="0" fillId="6" borderId="28" xfId="0" applyNumberFormat="1" applyFont="1" applyFill="1" applyBorder="1" applyAlignment="1">
      <alignment horizontal="center"/>
    </xf>
    <xf numFmtId="165" fontId="0" fillId="6" borderId="32" xfId="0" applyNumberFormat="1" applyFont="1" applyFill="1" applyBorder="1" applyAlignment="1">
      <alignment horizontal="center"/>
    </xf>
    <xf numFmtId="6" fontId="0" fillId="0" borderId="34" xfId="17" applyNumberFormat="1" applyFont="1" applyFill="1" applyBorder="1" applyAlignment="1">
      <alignment horizontal="center"/>
    </xf>
    <xf numFmtId="6" fontId="0" fillId="0" borderId="37" xfId="17" applyNumberFormat="1" applyFont="1" applyFill="1" applyBorder="1" applyAlignment="1">
      <alignment horizontal="center"/>
    </xf>
    <xf numFmtId="8" fontId="0" fillId="0" borderId="58" xfId="0" applyNumberFormat="1" applyFont="1" applyBorder="1" applyAlignment="1">
      <alignment horizontal="center"/>
    </xf>
    <xf numFmtId="8" fontId="0" fillId="0" borderId="49" xfId="0" applyNumberFormat="1" applyFont="1" applyBorder="1" applyAlignment="1">
      <alignment horizontal="center"/>
    </xf>
    <xf numFmtId="165" fontId="0" fillId="0" borderId="59" xfId="0" applyNumberFormat="1" applyFont="1" applyBorder="1" applyAlignment="1">
      <alignment horizontal="center"/>
    </xf>
    <xf numFmtId="166" fontId="0" fillId="6" borderId="18" xfId="0" applyNumberFormat="1" applyFont="1" applyFill="1" applyBorder="1" applyAlignment="1">
      <alignment horizontal="center"/>
    </xf>
    <xf numFmtId="167" fontId="0" fillId="6" borderId="49" xfId="0" applyNumberFormat="1" applyFont="1" applyFill="1" applyBorder="1" applyAlignment="1">
      <alignment horizontal="center" vertical="center"/>
    </xf>
    <xf numFmtId="165" fontId="0" fillId="0" borderId="45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3" fontId="0" fillId="0" borderId="8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44" fontId="0" fillId="0" borderId="51" xfId="17" applyFont="1" applyBorder="1" applyAlignment="1">
      <alignment horizontal="center"/>
    </xf>
    <xf numFmtId="44" fontId="0" fillId="0" borderId="8" xfId="17" applyFont="1" applyBorder="1" applyAlignment="1">
      <alignment horizontal="center"/>
    </xf>
    <xf numFmtId="173" fontId="0" fillId="0" borderId="8" xfId="0" applyNumberFormat="1" applyFont="1" applyBorder="1" applyAlignment="1">
      <alignment horizontal="center"/>
    </xf>
    <xf numFmtId="44" fontId="0" fillId="0" borderId="7" xfId="17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8" fontId="0" fillId="0" borderId="5" xfId="0" applyNumberFormat="1" applyFont="1" applyBorder="1" applyAlignment="1">
      <alignment horizontal="center"/>
    </xf>
    <xf numFmtId="166" fontId="0" fillId="0" borderId="24" xfId="0" applyNumberFormat="1" applyFont="1" applyBorder="1" applyAlignment="1">
      <alignment horizontal="center"/>
    </xf>
    <xf numFmtId="6" fontId="0" fillId="0" borderId="29" xfId="17" applyNumberFormat="1" applyFont="1" applyFill="1" applyBorder="1" applyAlignment="1">
      <alignment horizontal="center"/>
    </xf>
    <xf numFmtId="8" fontId="0" fillId="0" borderId="27" xfId="0" applyNumberFormat="1" applyFont="1" applyBorder="1" applyAlignment="1">
      <alignment horizontal="center"/>
    </xf>
    <xf numFmtId="165" fontId="0" fillId="0" borderId="29" xfId="0" applyNumberFormat="1" applyFont="1" applyBorder="1" applyAlignment="1">
      <alignment horizontal="center"/>
    </xf>
    <xf numFmtId="166" fontId="0" fillId="0" borderId="32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2" xfId="20" applyFont="1" applyFill="1" applyBorder="1">
      <alignment/>
      <protection/>
    </xf>
    <xf numFmtId="0" fontId="4" fillId="8" borderId="1" xfId="0" applyFont="1" applyFill="1" applyBorder="1" applyAlignment="1">
      <alignment horizontal="center"/>
    </xf>
    <xf numFmtId="1" fontId="1" fillId="8" borderId="2" xfId="0" applyNumberFormat="1" applyFont="1" applyFill="1" applyBorder="1" applyAlignment="1">
      <alignment horizontal="left"/>
    </xf>
    <xf numFmtId="0" fontId="1" fillId="8" borderId="2" xfId="0" applyFont="1" applyFill="1" applyBorder="1" applyAlignment="1">
      <alignment horizontal="center"/>
    </xf>
    <xf numFmtId="0" fontId="1" fillId="8" borderId="3" xfId="20" applyFont="1" applyFill="1" applyBorder="1">
      <alignment/>
      <protection/>
    </xf>
    <xf numFmtId="0" fontId="0" fillId="8" borderId="2" xfId="0" applyFont="1" applyFill="1" applyBorder="1" applyAlignment="1">
      <alignment/>
    </xf>
    <xf numFmtId="3" fontId="0" fillId="8" borderId="2" xfId="0" applyNumberFormat="1" applyFont="1" applyFill="1" applyBorder="1" applyAlignment="1">
      <alignment horizontal="center"/>
    </xf>
    <xf numFmtId="3" fontId="0" fillId="8" borderId="1" xfId="0" applyNumberFormat="1" applyFont="1" applyFill="1" applyBorder="1" applyAlignment="1">
      <alignment horizontal="center"/>
    </xf>
    <xf numFmtId="3" fontId="0" fillId="8" borderId="3" xfId="0" applyNumberFormat="1" applyFont="1" applyFill="1" applyBorder="1" applyAlignment="1">
      <alignment horizontal="center"/>
    </xf>
    <xf numFmtId="3" fontId="1" fillId="8" borderId="2" xfId="0" applyNumberFormat="1" applyFont="1" applyFill="1" applyBorder="1" applyAlignment="1">
      <alignment horizontal="center"/>
    </xf>
    <xf numFmtId="4" fontId="0" fillId="8" borderId="3" xfId="0" applyNumberFormat="1" applyFont="1" applyFill="1" applyBorder="1" applyAlignment="1">
      <alignment horizontal="center"/>
    </xf>
    <xf numFmtId="168" fontId="0" fillId="8" borderId="1" xfId="0" applyNumberFormat="1" applyFont="1" applyFill="1" applyBorder="1" applyAlignment="1">
      <alignment horizontal="center"/>
    </xf>
    <xf numFmtId="168" fontId="0" fillId="8" borderId="2" xfId="0" applyNumberFormat="1" applyFont="1" applyFill="1" applyBorder="1" applyAlignment="1">
      <alignment horizontal="center"/>
    </xf>
    <xf numFmtId="167" fontId="0" fillId="0" borderId="29" xfId="0" applyNumberFormat="1" applyFont="1" applyFill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167" fontId="0" fillId="0" borderId="49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 wrapText="1"/>
    </xf>
    <xf numFmtId="3" fontId="4" fillId="0" borderId="51" xfId="0" applyNumberFormat="1" applyFont="1" applyFill="1" applyBorder="1" applyAlignment="1">
      <alignment wrapText="1"/>
    </xf>
    <xf numFmtId="3" fontId="1" fillId="0" borderId="8" xfId="0" applyNumberFormat="1" applyFont="1" applyFill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8" fontId="0" fillId="0" borderId="0" xfId="0" applyNumberFormat="1" applyFont="1" applyAlignment="1">
      <alignment horizontal="center"/>
    </xf>
    <xf numFmtId="0" fontId="8" fillId="0" borderId="60" xfId="0" applyFont="1" applyFill="1" applyBorder="1" applyAlignment="1">
      <alignment horizontal="center" wrapText="1"/>
    </xf>
    <xf numFmtId="0" fontId="17" fillId="0" borderId="34" xfId="0" applyFont="1" applyBorder="1" applyAlignment="1">
      <alignment horizontal="center" wrapText="1"/>
    </xf>
    <xf numFmtId="0" fontId="17" fillId="0" borderId="35" xfId="0" applyFont="1" applyBorder="1" applyAlignment="1">
      <alignment horizontal="center" wrapText="1"/>
    </xf>
    <xf numFmtId="0" fontId="9" fillId="0" borderId="10" xfId="20" applyFont="1" applyFill="1" applyBorder="1" applyAlignment="1">
      <alignment wrapText="1"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8" fillId="0" borderId="15" xfId="0" applyFont="1" applyFill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0" fillId="0" borderId="6" xfId="20" applyFont="1" applyFill="1" applyBorder="1" applyAlignment="1">
      <alignment horizontal="center"/>
      <protection/>
    </xf>
    <xf numFmtId="0" fontId="0" fillId="0" borderId="6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0" xfId="20" applyFont="1" applyFill="1" applyBorder="1" applyAlignment="1">
      <alignment horizontal="center" wrapText="1"/>
      <protection/>
    </xf>
    <xf numFmtId="0" fontId="1" fillId="0" borderId="11" xfId="20" applyFont="1" applyFill="1" applyBorder="1" applyAlignment="1">
      <alignment horizontal="center" wrapText="1"/>
      <protection/>
    </xf>
    <xf numFmtId="0" fontId="1" fillId="0" borderId="12" xfId="20" applyFont="1" applyFill="1" applyBorder="1" applyAlignment="1">
      <alignment horizontal="center" wrapText="1"/>
      <protection/>
    </xf>
    <xf numFmtId="0" fontId="8" fillId="0" borderId="10" xfId="20" applyFont="1" applyFill="1" applyBorder="1" applyAlignment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Rt991205" xfId="19"/>
    <cellStyle name="Normal_Sy99120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on\SGV%20Line%20by%20Line%20Performa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ystem"/>
      <sheetName val="Special"/>
      <sheetName val="MihrlineDX"/>
      <sheetName val="MihrlineSA"/>
      <sheetName val="MihrlineSU"/>
      <sheetName val="Annual"/>
      <sheetName val="SGV Sector Lines"/>
      <sheetName val="Eqline"/>
      <sheetName val="Podiv"/>
      <sheetName val="Mihrdiv"/>
      <sheetName val="Routmi"/>
    </sheetNames>
    <sheetDataSet>
      <sheetData sheetId="3">
        <row r="8">
          <cell r="G8">
            <v>19</v>
          </cell>
        </row>
        <row r="9">
          <cell r="G9">
            <v>31</v>
          </cell>
        </row>
        <row r="10">
          <cell r="G10">
            <v>13</v>
          </cell>
        </row>
        <row r="11">
          <cell r="G11">
            <v>17</v>
          </cell>
        </row>
        <row r="12">
          <cell r="G12">
            <v>16</v>
          </cell>
        </row>
        <row r="13">
          <cell r="G13">
            <v>16</v>
          </cell>
        </row>
        <row r="14">
          <cell r="G14">
            <v>18</v>
          </cell>
        </row>
        <row r="15">
          <cell r="G15">
            <v>2</v>
          </cell>
        </row>
        <row r="16">
          <cell r="G16">
            <v>19</v>
          </cell>
        </row>
        <row r="17">
          <cell r="G17">
            <v>27</v>
          </cell>
        </row>
        <row r="18">
          <cell r="G18">
            <v>21</v>
          </cell>
        </row>
        <row r="19">
          <cell r="G19">
            <v>21</v>
          </cell>
        </row>
        <row r="20">
          <cell r="G20">
            <v>11</v>
          </cell>
        </row>
        <row r="21">
          <cell r="G21">
            <v>21</v>
          </cell>
        </row>
        <row r="22">
          <cell r="G22">
            <v>6</v>
          </cell>
        </row>
        <row r="23">
          <cell r="G23">
            <v>15</v>
          </cell>
        </row>
        <row r="24">
          <cell r="G24">
            <v>11</v>
          </cell>
        </row>
        <row r="25">
          <cell r="G25">
            <v>12</v>
          </cell>
        </row>
        <row r="26">
          <cell r="G26">
            <v>2</v>
          </cell>
        </row>
        <row r="27">
          <cell r="G27">
            <v>23</v>
          </cell>
        </row>
        <row r="28">
          <cell r="G28">
            <v>3</v>
          </cell>
        </row>
        <row r="29">
          <cell r="G29">
            <v>17</v>
          </cell>
        </row>
        <row r="30">
          <cell r="G30">
            <v>17</v>
          </cell>
        </row>
        <row r="31">
          <cell r="G31">
            <v>15</v>
          </cell>
        </row>
        <row r="32">
          <cell r="G32">
            <v>13</v>
          </cell>
        </row>
        <row r="33">
          <cell r="G33">
            <v>13</v>
          </cell>
        </row>
        <row r="34">
          <cell r="G34">
            <v>19</v>
          </cell>
        </row>
        <row r="35">
          <cell r="G35">
            <v>8</v>
          </cell>
        </row>
        <row r="36">
          <cell r="G36">
            <v>11</v>
          </cell>
        </row>
        <row r="37">
          <cell r="G37">
            <v>18</v>
          </cell>
        </row>
        <row r="38">
          <cell r="G38">
            <v>2</v>
          </cell>
        </row>
        <row r="39">
          <cell r="G39">
            <v>15</v>
          </cell>
        </row>
        <row r="40">
          <cell r="G40">
            <v>4</v>
          </cell>
        </row>
        <row r="41">
          <cell r="G41">
            <v>15</v>
          </cell>
        </row>
        <row r="42">
          <cell r="G42">
            <v>9</v>
          </cell>
        </row>
        <row r="43">
          <cell r="G43">
            <v>16</v>
          </cell>
        </row>
        <row r="44">
          <cell r="G44">
            <v>1</v>
          </cell>
        </row>
        <row r="45">
          <cell r="G45">
            <v>14</v>
          </cell>
        </row>
        <row r="46">
          <cell r="G46">
            <v>9</v>
          </cell>
        </row>
        <row r="47">
          <cell r="G47">
            <v>4</v>
          </cell>
        </row>
        <row r="48">
          <cell r="G48">
            <v>8</v>
          </cell>
        </row>
        <row r="49">
          <cell r="G49">
            <v>3</v>
          </cell>
        </row>
        <row r="50">
          <cell r="G50">
            <v>3</v>
          </cell>
        </row>
        <row r="51">
          <cell r="G51">
            <v>16</v>
          </cell>
        </row>
        <row r="52">
          <cell r="G52">
            <v>9</v>
          </cell>
        </row>
        <row r="53">
          <cell r="G53">
            <v>6</v>
          </cell>
        </row>
        <row r="54">
          <cell r="G54">
            <v>11</v>
          </cell>
        </row>
        <row r="55">
          <cell r="G55">
            <v>3</v>
          </cell>
        </row>
        <row r="56">
          <cell r="G56">
            <v>3</v>
          </cell>
        </row>
        <row r="57">
          <cell r="G57">
            <v>11</v>
          </cell>
        </row>
        <row r="58">
          <cell r="G58">
            <v>19</v>
          </cell>
        </row>
        <row r="59">
          <cell r="G59">
            <v>11</v>
          </cell>
        </row>
        <row r="60">
          <cell r="G60">
            <v>2</v>
          </cell>
        </row>
        <row r="61">
          <cell r="G61">
            <v>4</v>
          </cell>
        </row>
        <row r="62">
          <cell r="G62">
            <v>4</v>
          </cell>
        </row>
        <row r="63">
          <cell r="G63">
            <v>1</v>
          </cell>
        </row>
        <row r="64">
          <cell r="G64">
            <v>3</v>
          </cell>
        </row>
        <row r="65">
          <cell r="G65">
            <v>20</v>
          </cell>
        </row>
        <row r="66">
          <cell r="G66">
            <v>5</v>
          </cell>
        </row>
        <row r="67">
          <cell r="G67">
            <v>9</v>
          </cell>
        </row>
        <row r="68">
          <cell r="G68">
            <v>3</v>
          </cell>
        </row>
        <row r="69">
          <cell r="G69">
            <v>4</v>
          </cell>
        </row>
        <row r="70">
          <cell r="G70">
            <v>14</v>
          </cell>
        </row>
        <row r="71">
          <cell r="G71">
            <v>10</v>
          </cell>
        </row>
        <row r="72">
          <cell r="G72">
            <v>26</v>
          </cell>
        </row>
        <row r="73">
          <cell r="G73">
            <v>3</v>
          </cell>
        </row>
        <row r="74">
          <cell r="G74">
            <v>19</v>
          </cell>
        </row>
        <row r="75">
          <cell r="G75">
            <v>3</v>
          </cell>
        </row>
        <row r="76">
          <cell r="G76">
            <v>12</v>
          </cell>
        </row>
        <row r="77">
          <cell r="G77">
            <v>11</v>
          </cell>
        </row>
        <row r="78">
          <cell r="G78">
            <v>3</v>
          </cell>
        </row>
        <row r="79">
          <cell r="G79">
            <v>6</v>
          </cell>
        </row>
        <row r="80">
          <cell r="G80">
            <v>14</v>
          </cell>
        </row>
        <row r="81">
          <cell r="G81">
            <v>3</v>
          </cell>
        </row>
        <row r="82">
          <cell r="G82">
            <v>3</v>
          </cell>
        </row>
        <row r="83">
          <cell r="G83">
            <v>3</v>
          </cell>
        </row>
        <row r="84">
          <cell r="G84">
            <v>2</v>
          </cell>
        </row>
        <row r="85">
          <cell r="G85">
            <v>18</v>
          </cell>
        </row>
        <row r="86">
          <cell r="G86">
            <v>2</v>
          </cell>
        </row>
        <row r="87">
          <cell r="G87">
            <v>4</v>
          </cell>
        </row>
        <row r="88">
          <cell r="G88">
            <v>17</v>
          </cell>
        </row>
        <row r="89">
          <cell r="G89">
            <v>1</v>
          </cell>
        </row>
        <row r="90">
          <cell r="G90">
            <v>5</v>
          </cell>
        </row>
        <row r="91">
          <cell r="G91">
            <v>4</v>
          </cell>
        </row>
        <row r="92">
          <cell r="G92">
            <v>4</v>
          </cell>
        </row>
        <row r="93">
          <cell r="G93">
            <v>8</v>
          </cell>
        </row>
        <row r="94">
          <cell r="G94">
            <v>4</v>
          </cell>
        </row>
        <row r="95">
          <cell r="G95">
            <v>4</v>
          </cell>
        </row>
        <row r="98">
          <cell r="G98">
            <v>5</v>
          </cell>
        </row>
        <row r="99">
          <cell r="G99">
            <v>5</v>
          </cell>
        </row>
        <row r="100">
          <cell r="G100">
            <v>6</v>
          </cell>
        </row>
        <row r="101">
          <cell r="G101">
            <v>3</v>
          </cell>
        </row>
        <row r="102">
          <cell r="G102">
            <v>9</v>
          </cell>
        </row>
        <row r="103">
          <cell r="G103">
            <v>10</v>
          </cell>
        </row>
        <row r="104">
          <cell r="G104">
            <v>3</v>
          </cell>
        </row>
        <row r="105">
          <cell r="G105">
            <v>8</v>
          </cell>
        </row>
        <row r="106">
          <cell r="G106">
            <v>10</v>
          </cell>
        </row>
        <row r="107">
          <cell r="G107">
            <v>4</v>
          </cell>
        </row>
        <row r="109">
          <cell r="G109">
            <v>9</v>
          </cell>
        </row>
        <row r="110">
          <cell r="G110">
            <v>5</v>
          </cell>
        </row>
        <row r="111">
          <cell r="G111">
            <v>21</v>
          </cell>
        </row>
        <row r="113">
          <cell r="G113">
            <v>3</v>
          </cell>
        </row>
        <row r="114">
          <cell r="G114">
            <v>49</v>
          </cell>
        </row>
        <row r="115">
          <cell r="G115">
            <v>8</v>
          </cell>
        </row>
        <row r="116">
          <cell r="G116">
            <v>11</v>
          </cell>
        </row>
        <row r="117">
          <cell r="G117">
            <v>18</v>
          </cell>
        </row>
      </sheetData>
      <sheetData sheetId="6">
        <row r="8">
          <cell r="R8">
            <v>0.56</v>
          </cell>
        </row>
        <row r="9">
          <cell r="R9">
            <v>0.56</v>
          </cell>
        </row>
        <row r="10">
          <cell r="R10">
            <v>0.56</v>
          </cell>
        </row>
        <row r="11">
          <cell r="R11">
            <v>0.56</v>
          </cell>
        </row>
        <row r="12">
          <cell r="R12">
            <v>0.56</v>
          </cell>
        </row>
        <row r="13">
          <cell r="R13">
            <v>0.56</v>
          </cell>
        </row>
        <row r="14">
          <cell r="R14">
            <v>0.56</v>
          </cell>
        </row>
        <row r="15">
          <cell r="R15">
            <v>0.56</v>
          </cell>
        </row>
        <row r="16">
          <cell r="R16">
            <v>0.56</v>
          </cell>
        </row>
        <row r="17">
          <cell r="R17">
            <v>0.56</v>
          </cell>
        </row>
        <row r="18">
          <cell r="R18">
            <v>0.56</v>
          </cell>
        </row>
        <row r="19">
          <cell r="R19">
            <v>0.56</v>
          </cell>
        </row>
        <row r="20">
          <cell r="R20">
            <v>0.56</v>
          </cell>
        </row>
        <row r="21">
          <cell r="R21">
            <v>0.56</v>
          </cell>
        </row>
        <row r="22">
          <cell r="R22">
            <v>0.56</v>
          </cell>
        </row>
        <row r="23">
          <cell r="R23">
            <v>0.56</v>
          </cell>
        </row>
        <row r="24">
          <cell r="R24">
            <v>0.56</v>
          </cell>
        </row>
        <row r="25">
          <cell r="R25">
            <v>0.56</v>
          </cell>
        </row>
        <row r="26">
          <cell r="R26">
            <v>0.56</v>
          </cell>
        </row>
        <row r="27">
          <cell r="R27">
            <v>0.56</v>
          </cell>
        </row>
        <row r="28">
          <cell r="R28">
            <v>0.56</v>
          </cell>
        </row>
        <row r="29">
          <cell r="R29">
            <v>0.56</v>
          </cell>
        </row>
        <row r="30">
          <cell r="R30">
            <v>0.56</v>
          </cell>
        </row>
        <row r="31">
          <cell r="R31">
            <v>0.56</v>
          </cell>
        </row>
        <row r="32">
          <cell r="R32">
            <v>0.56</v>
          </cell>
        </row>
        <row r="33">
          <cell r="R33">
            <v>0.56</v>
          </cell>
        </row>
        <row r="34">
          <cell r="R34">
            <v>0.56</v>
          </cell>
        </row>
        <row r="35">
          <cell r="R35">
            <v>0.56</v>
          </cell>
        </row>
        <row r="36">
          <cell r="R36">
            <v>0.56</v>
          </cell>
        </row>
        <row r="37">
          <cell r="R37">
            <v>0.56</v>
          </cell>
        </row>
        <row r="38">
          <cell r="R38">
            <v>0.56</v>
          </cell>
        </row>
        <row r="39">
          <cell r="R39">
            <v>0.56</v>
          </cell>
        </row>
        <row r="40">
          <cell r="R40">
            <v>0.56</v>
          </cell>
        </row>
        <row r="41">
          <cell r="R41">
            <v>0.56</v>
          </cell>
        </row>
        <row r="42">
          <cell r="R42">
            <v>0.56</v>
          </cell>
        </row>
        <row r="43">
          <cell r="R43">
            <v>0.56</v>
          </cell>
        </row>
        <row r="44">
          <cell r="R44">
            <v>0.56</v>
          </cell>
        </row>
        <row r="45">
          <cell r="R45">
            <v>0.56</v>
          </cell>
        </row>
        <row r="46">
          <cell r="R46">
            <v>0.56</v>
          </cell>
        </row>
        <row r="47">
          <cell r="R47">
            <v>0.56</v>
          </cell>
        </row>
        <row r="48">
          <cell r="R48">
            <v>0.56</v>
          </cell>
        </row>
        <row r="49">
          <cell r="R49">
            <v>0.56</v>
          </cell>
        </row>
        <row r="50">
          <cell r="R50">
            <v>0.56</v>
          </cell>
        </row>
        <row r="51">
          <cell r="R51">
            <v>0.56</v>
          </cell>
        </row>
        <row r="52">
          <cell r="R52">
            <v>0.56</v>
          </cell>
        </row>
        <row r="53">
          <cell r="R53">
            <v>0.56</v>
          </cell>
        </row>
        <row r="54">
          <cell r="R54">
            <v>0.56</v>
          </cell>
        </row>
        <row r="55">
          <cell r="R55">
            <v>0.56</v>
          </cell>
        </row>
        <row r="56">
          <cell r="R56">
            <v>0.56</v>
          </cell>
        </row>
        <row r="57">
          <cell r="R57">
            <v>0.56</v>
          </cell>
        </row>
        <row r="58">
          <cell r="R58">
            <v>0.56</v>
          </cell>
        </row>
        <row r="59">
          <cell r="R59">
            <v>0.56</v>
          </cell>
        </row>
        <row r="60">
          <cell r="R60">
            <v>0.56</v>
          </cell>
        </row>
        <row r="61">
          <cell r="R61">
            <v>0.56</v>
          </cell>
        </row>
        <row r="62">
          <cell r="R62">
            <v>0.56</v>
          </cell>
        </row>
        <row r="63">
          <cell r="R63">
            <v>0.56</v>
          </cell>
        </row>
        <row r="64">
          <cell r="R64">
            <v>0.56</v>
          </cell>
        </row>
        <row r="65">
          <cell r="R65">
            <v>0.56</v>
          </cell>
        </row>
        <row r="66">
          <cell r="R66">
            <v>0.56</v>
          </cell>
        </row>
        <row r="67">
          <cell r="R67">
            <v>0.56</v>
          </cell>
        </row>
        <row r="68">
          <cell r="R68">
            <v>0.56</v>
          </cell>
        </row>
        <row r="69">
          <cell r="R69">
            <v>0.56</v>
          </cell>
        </row>
        <row r="70">
          <cell r="R70">
            <v>0.56</v>
          </cell>
        </row>
        <row r="71">
          <cell r="R71">
            <v>0.56</v>
          </cell>
        </row>
        <row r="72">
          <cell r="R72">
            <v>0.56</v>
          </cell>
        </row>
        <row r="73">
          <cell r="R73">
            <v>0.56</v>
          </cell>
        </row>
        <row r="74">
          <cell r="R74">
            <v>0.56</v>
          </cell>
        </row>
        <row r="75">
          <cell r="R75">
            <v>0.56</v>
          </cell>
        </row>
        <row r="76">
          <cell r="R76">
            <v>0.56</v>
          </cell>
        </row>
        <row r="77">
          <cell r="R77">
            <v>0.56</v>
          </cell>
        </row>
        <row r="78">
          <cell r="R78">
            <v>0.56</v>
          </cell>
        </row>
        <row r="79">
          <cell r="R79">
            <v>0.56</v>
          </cell>
        </row>
        <row r="80">
          <cell r="R80">
            <v>0.56</v>
          </cell>
        </row>
        <row r="81">
          <cell r="R81">
            <v>0.56</v>
          </cell>
        </row>
        <row r="82">
          <cell r="R82">
            <v>0.56</v>
          </cell>
        </row>
        <row r="83">
          <cell r="R83">
            <v>0.56</v>
          </cell>
        </row>
        <row r="84">
          <cell r="R84">
            <v>0.56</v>
          </cell>
        </row>
        <row r="85">
          <cell r="R85">
            <v>0.56</v>
          </cell>
        </row>
        <row r="86">
          <cell r="R86">
            <v>0.56</v>
          </cell>
        </row>
        <row r="87">
          <cell r="R87">
            <v>0.56</v>
          </cell>
        </row>
        <row r="88">
          <cell r="R88">
            <v>0.56</v>
          </cell>
        </row>
        <row r="89">
          <cell r="R89">
            <v>0.56</v>
          </cell>
        </row>
        <row r="90">
          <cell r="R90">
            <v>0.56</v>
          </cell>
        </row>
        <row r="91">
          <cell r="R91">
            <v>0.56</v>
          </cell>
        </row>
        <row r="92">
          <cell r="R92">
            <v>0.56</v>
          </cell>
        </row>
        <row r="93">
          <cell r="R93">
            <v>0.56</v>
          </cell>
        </row>
        <row r="94">
          <cell r="R94">
            <v>0.56</v>
          </cell>
        </row>
        <row r="95">
          <cell r="R95">
            <v>0.6</v>
          </cell>
        </row>
        <row r="96">
          <cell r="R96">
            <v>0.6</v>
          </cell>
        </row>
        <row r="97">
          <cell r="R97">
            <v>0.74</v>
          </cell>
        </row>
        <row r="98">
          <cell r="R98">
            <v>0.6</v>
          </cell>
        </row>
        <row r="99">
          <cell r="R99">
            <v>0.7</v>
          </cell>
        </row>
        <row r="100">
          <cell r="R100">
            <v>0.86</v>
          </cell>
        </row>
        <row r="101">
          <cell r="R101">
            <v>1.34</v>
          </cell>
        </row>
        <row r="102">
          <cell r="R102">
            <v>0.7</v>
          </cell>
        </row>
        <row r="103">
          <cell r="R103">
            <v>0.9</v>
          </cell>
        </row>
        <row r="104">
          <cell r="R104">
            <v>0.56</v>
          </cell>
        </row>
        <row r="105">
          <cell r="R105">
            <v>0.6</v>
          </cell>
        </row>
        <row r="106">
          <cell r="R106">
            <v>0.78</v>
          </cell>
        </row>
        <row r="107">
          <cell r="R107">
            <v>1.02</v>
          </cell>
        </row>
        <row r="108">
          <cell r="R108">
            <v>0.75</v>
          </cell>
        </row>
        <row r="109">
          <cell r="R109">
            <v>0.78</v>
          </cell>
        </row>
        <row r="110">
          <cell r="R110">
            <v>0.7</v>
          </cell>
        </row>
        <row r="111">
          <cell r="R111">
            <v>0.58</v>
          </cell>
        </row>
        <row r="112">
          <cell r="R112">
            <v>0.58</v>
          </cell>
        </row>
        <row r="113">
          <cell r="R113">
            <v>0.25</v>
          </cell>
        </row>
        <row r="114">
          <cell r="R114">
            <v>0.56</v>
          </cell>
        </row>
        <row r="115">
          <cell r="R115">
            <v>0.56</v>
          </cell>
        </row>
        <row r="116">
          <cell r="R116">
            <v>0.56</v>
          </cell>
        </row>
        <row r="117">
          <cell r="R117">
            <v>0.56</v>
          </cell>
        </row>
        <row r="147">
          <cell r="R147">
            <v>0.56</v>
          </cell>
        </row>
        <row r="148">
          <cell r="R148">
            <v>0.56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10"/>
  <sheetViews>
    <sheetView tabSelected="1" zoomScale="75" zoomScaleNormal="75" workbookViewId="0" topLeftCell="A1">
      <selection activeCell="V26" sqref="V26"/>
    </sheetView>
  </sheetViews>
  <sheetFormatPr defaultColWidth="9.140625" defaultRowHeight="12.75"/>
  <cols>
    <col min="1" max="1" width="4.8515625" style="233" customWidth="1"/>
    <col min="2" max="2" width="5.8515625" style="234" customWidth="1"/>
    <col min="3" max="3" width="30.421875" style="540" customWidth="1"/>
    <col min="4" max="5" width="2.57421875" style="541" customWidth="1"/>
    <col min="6" max="6" width="2.28125" style="541" customWidth="1"/>
    <col min="7" max="7" width="11.00390625" style="6" hidden="1" customWidth="1"/>
    <col min="8" max="8" width="9.140625" style="6" hidden="1" customWidth="1"/>
    <col min="9" max="9" width="7.140625" style="6" hidden="1" customWidth="1"/>
    <col min="10" max="13" width="9.140625" style="6" hidden="1" customWidth="1"/>
    <col min="14" max="14" width="5.140625" style="233" customWidth="1"/>
    <col min="15" max="15" width="6.28125" style="7" hidden="1" customWidth="1"/>
    <col min="16" max="16" width="16.421875" style="7" hidden="1" customWidth="1"/>
    <col min="17" max="17" width="10.421875" style="7" customWidth="1"/>
    <col min="18" max="18" width="0.42578125" style="7" hidden="1" customWidth="1"/>
    <col min="19" max="19" width="10.00390625" style="7" customWidth="1"/>
    <col min="20" max="20" width="11.421875" style="7" hidden="1" customWidth="1"/>
    <col min="21" max="21" width="0.13671875" style="5" customWidth="1"/>
    <col min="22" max="22" width="11.140625" style="7" customWidth="1"/>
    <col min="23" max="23" width="4.7109375" style="20" customWidth="1"/>
    <col min="24" max="24" width="5.57421875" style="7" customWidth="1"/>
    <col min="25" max="25" width="0.5625" style="7" hidden="1" customWidth="1"/>
    <col min="26" max="26" width="12.57421875" style="7" customWidth="1"/>
    <col min="27" max="27" width="12.421875" style="7" customWidth="1"/>
    <col min="28" max="28" width="0.13671875" style="7" hidden="1" customWidth="1"/>
    <col min="29" max="29" width="8.7109375" style="7" customWidth="1"/>
    <col min="30" max="30" width="7.57421875" style="7" customWidth="1"/>
    <col min="31" max="31" width="7.28125" style="7" customWidth="1"/>
    <col min="32" max="32" width="8.28125" style="7" customWidth="1"/>
    <col min="33" max="33" width="6.421875" style="7" customWidth="1"/>
    <col min="34" max="34" width="7.00390625" style="7" customWidth="1"/>
    <col min="35" max="35" width="7.140625" style="10" customWidth="1"/>
    <col min="36" max="36" width="7.140625" style="7" hidden="1" customWidth="1"/>
    <col min="37" max="37" width="7.7109375" style="7" hidden="1" customWidth="1"/>
    <col min="38" max="38" width="7.140625" style="7" hidden="1" customWidth="1"/>
    <col min="39" max="16384" width="9.140625" style="5" customWidth="1"/>
  </cols>
  <sheetData>
    <row r="1" spans="1:23" ht="23.25">
      <c r="A1" s="1"/>
      <c r="B1" s="2"/>
      <c r="C1" s="3" t="s">
        <v>0</v>
      </c>
      <c r="D1" s="4"/>
      <c r="E1" s="4"/>
      <c r="F1" s="4"/>
      <c r="G1" s="5"/>
      <c r="N1" s="7"/>
      <c r="V1" s="8"/>
      <c r="W1" s="9"/>
    </row>
    <row r="2" spans="1:23" ht="15.75" customHeight="1" thickBot="1">
      <c r="A2" s="1"/>
      <c r="B2" s="2"/>
      <c r="C2" s="5"/>
      <c r="D2" s="4"/>
      <c r="E2" s="4"/>
      <c r="F2" s="11" t="s">
        <v>1</v>
      </c>
      <c r="G2" s="5"/>
      <c r="N2" s="7"/>
      <c r="V2" s="8"/>
      <c r="W2" s="9"/>
    </row>
    <row r="3" spans="1:20" ht="15.75" customHeight="1" hidden="1">
      <c r="A3" s="5"/>
      <c r="B3" s="2"/>
      <c r="C3" s="12"/>
      <c r="D3" s="4"/>
      <c r="E3" s="4"/>
      <c r="F3" s="4"/>
      <c r="G3" s="13"/>
      <c r="H3" s="14" t="s">
        <v>2</v>
      </c>
      <c r="I3" s="14"/>
      <c r="J3" s="14"/>
      <c r="K3" s="14"/>
      <c r="L3" s="15" t="s">
        <v>3</v>
      </c>
      <c r="M3" s="16"/>
      <c r="N3" s="17" t="s">
        <v>4</v>
      </c>
      <c r="O3" s="18"/>
      <c r="P3" s="19" t="s">
        <v>2</v>
      </c>
      <c r="Q3" s="19"/>
      <c r="R3" s="19"/>
      <c r="S3" s="19"/>
      <c r="T3" s="19"/>
    </row>
    <row r="4" spans="1:38" ht="13.5" thickBot="1">
      <c r="A4" s="14"/>
      <c r="B4" s="21"/>
      <c r="C4" s="12"/>
      <c r="D4" s="4"/>
      <c r="E4" s="4"/>
      <c r="F4" s="4"/>
      <c r="G4" s="13"/>
      <c r="H4" s="15" t="s">
        <v>5</v>
      </c>
      <c r="I4" s="22"/>
      <c r="J4" s="23"/>
      <c r="K4" s="24"/>
      <c r="L4" s="25" t="s">
        <v>6</v>
      </c>
      <c r="M4" s="26"/>
      <c r="N4" s="582"/>
      <c r="O4" s="583"/>
      <c r="P4" s="28" t="s">
        <v>7</v>
      </c>
      <c r="Q4" s="28"/>
      <c r="R4" s="28" t="s">
        <v>8</v>
      </c>
      <c r="S4" s="28"/>
      <c r="T4" s="28"/>
      <c r="U4" s="29"/>
      <c r="Y4" s="27"/>
      <c r="AC4" s="584" t="s">
        <v>9</v>
      </c>
      <c r="AD4" s="585"/>
      <c r="AE4" s="585"/>
      <c r="AF4" s="585"/>
      <c r="AG4" s="585"/>
      <c r="AH4" s="585"/>
      <c r="AI4" s="586"/>
      <c r="AJ4" s="30"/>
      <c r="AK4" s="31"/>
      <c r="AL4" s="32"/>
    </row>
    <row r="5" spans="1:40" s="60" customFormat="1" ht="54" customHeight="1" thickBot="1">
      <c r="A5" s="33" t="s">
        <v>10</v>
      </c>
      <c r="B5" s="34" t="s">
        <v>11</v>
      </c>
      <c r="C5" s="35" t="s">
        <v>12</v>
      </c>
      <c r="D5" s="587" t="s">
        <v>13</v>
      </c>
      <c r="E5" s="588"/>
      <c r="F5" s="589"/>
      <c r="G5" s="37" t="s">
        <v>14</v>
      </c>
      <c r="H5" s="38" t="s">
        <v>15</v>
      </c>
      <c r="I5" s="39" t="s">
        <v>16</v>
      </c>
      <c r="J5" s="40" t="s">
        <v>17</v>
      </c>
      <c r="K5" s="41" t="s">
        <v>18</v>
      </c>
      <c r="L5" s="42" t="s">
        <v>19</v>
      </c>
      <c r="M5" s="43" t="s">
        <v>20</v>
      </c>
      <c r="N5" s="38" t="s">
        <v>21</v>
      </c>
      <c r="O5" s="44" t="s">
        <v>20</v>
      </c>
      <c r="P5" s="45" t="s">
        <v>22</v>
      </c>
      <c r="Q5" s="46" t="s">
        <v>23</v>
      </c>
      <c r="R5" s="45" t="s">
        <v>22</v>
      </c>
      <c r="S5" s="47" t="s">
        <v>24</v>
      </c>
      <c r="T5" s="45" t="s">
        <v>25</v>
      </c>
      <c r="U5" s="48" t="s">
        <v>26</v>
      </c>
      <c r="V5" s="49" t="s">
        <v>27</v>
      </c>
      <c r="W5" s="36" t="s">
        <v>28</v>
      </c>
      <c r="X5" s="50" t="s">
        <v>29</v>
      </c>
      <c r="Y5" s="51" t="s">
        <v>30</v>
      </c>
      <c r="Z5" s="52" t="s">
        <v>31</v>
      </c>
      <c r="AA5" s="53" t="s">
        <v>32</v>
      </c>
      <c r="AB5" s="53" t="s">
        <v>33</v>
      </c>
      <c r="AC5" s="54" t="s">
        <v>34</v>
      </c>
      <c r="AD5" s="55" t="s">
        <v>35</v>
      </c>
      <c r="AE5" s="55" t="s">
        <v>36</v>
      </c>
      <c r="AF5" s="55" t="s">
        <v>37</v>
      </c>
      <c r="AG5" s="55" t="s">
        <v>38</v>
      </c>
      <c r="AH5" s="56" t="s">
        <v>39</v>
      </c>
      <c r="AI5" s="57" t="s">
        <v>40</v>
      </c>
      <c r="AJ5" s="58" t="s">
        <v>41</v>
      </c>
      <c r="AK5" s="59" t="s">
        <v>42</v>
      </c>
      <c r="AL5" s="57" t="s">
        <v>43</v>
      </c>
      <c r="AN5" s="61"/>
    </row>
    <row r="6" spans="1:40" ht="28.5" customHeight="1">
      <c r="A6" s="62">
        <v>28</v>
      </c>
      <c r="B6" s="63" t="s">
        <v>44</v>
      </c>
      <c r="C6" s="64" t="s">
        <v>45</v>
      </c>
      <c r="D6" s="65">
        <v>3</v>
      </c>
      <c r="E6" s="66"/>
      <c r="F6" s="67"/>
      <c r="G6" s="68" t="s">
        <v>46</v>
      </c>
      <c r="H6" s="69">
        <v>16110</v>
      </c>
      <c r="I6" s="70">
        <f>'[1]MihrlineDX'!G17</f>
        <v>27</v>
      </c>
      <c r="J6" s="69">
        <v>15657</v>
      </c>
      <c r="K6" s="68"/>
      <c r="L6" s="68"/>
      <c r="M6" s="68"/>
      <c r="N6" s="62">
        <v>54</v>
      </c>
      <c r="O6" s="71">
        <v>51</v>
      </c>
      <c r="P6" s="72">
        <v>208842.6</v>
      </c>
      <c r="Q6" s="73">
        <v>190225.7</v>
      </c>
      <c r="R6" s="72">
        <v>2494879.1</v>
      </c>
      <c r="S6" s="74">
        <v>2100426.9</v>
      </c>
      <c r="T6" s="75">
        <f>S6*41.5</f>
        <v>87167716.35</v>
      </c>
      <c r="U6" s="76">
        <f>'[1]Annual'!R17</f>
        <v>0.56</v>
      </c>
      <c r="V6" s="72">
        <v>11597839.250105776</v>
      </c>
      <c r="W6" s="77">
        <f>V6/V$33</f>
        <v>0.19276514549046678</v>
      </c>
      <c r="X6" s="78">
        <f aca="true" t="shared" si="0" ref="X6:X33">Z6/V6</f>
        <v>3.1698929594195877</v>
      </c>
      <c r="Y6" s="79">
        <f aca="true" t="shared" si="1" ref="Y6:Y32">U6*V6</f>
        <v>6494789.980059235</v>
      </c>
      <c r="Z6" s="72">
        <v>36763908.98339045</v>
      </c>
      <c r="AA6" s="80">
        <v>19311633.5444506</v>
      </c>
      <c r="AB6" s="81">
        <f aca="true" t="shared" si="2" ref="AB6:AB32">AA6-Y6</f>
        <v>12816843.564391363</v>
      </c>
      <c r="AC6" s="82">
        <f aca="true" t="shared" si="3" ref="AC6:AC37">AA6/Q6</f>
        <v>101.5195819726283</v>
      </c>
      <c r="AD6" s="83">
        <f aca="true" t="shared" si="4" ref="AD6:AD33">AA6/S6</f>
        <v>9.194146934821012</v>
      </c>
      <c r="AE6" s="83">
        <f aca="true" t="shared" si="5" ref="AE6:AE37">AA6/V6</f>
        <v>1.6651061571037442</v>
      </c>
      <c r="AF6" s="84">
        <f>V6/Z6</f>
        <v>0.31546806557881424</v>
      </c>
      <c r="AG6" s="85">
        <f aca="true" t="shared" si="6" ref="AG6:AG69">V6/Q6</f>
        <v>60.96883465328699</v>
      </c>
      <c r="AH6" s="86">
        <f aca="true" t="shared" si="7" ref="AH6:AH33">Z6/T6</f>
        <v>0.42176060728463094</v>
      </c>
      <c r="AI6" s="87">
        <f aca="true" t="shared" si="8" ref="AI6:AI37">AB6/V6</f>
        <v>1.1051061571037442</v>
      </c>
      <c r="AJ6" s="88">
        <f aca="true" t="shared" si="9" ref="AJ6:AJ37">AB6/Z6</f>
        <v>0.3486257016407553</v>
      </c>
      <c r="AK6" s="89">
        <f aca="true" t="shared" si="10" ref="AK6:AK37">AB6/Q6</f>
        <v>67.37703456678757</v>
      </c>
      <c r="AL6" s="90">
        <f aca="true" t="shared" si="11" ref="AL6:AL37">AB6/S6</f>
        <v>6.102018387019974</v>
      </c>
      <c r="AN6" s="91"/>
    </row>
    <row r="7" spans="1:38" ht="12.75">
      <c r="A7" s="92">
        <v>251</v>
      </c>
      <c r="B7" s="93">
        <v>252</v>
      </c>
      <c r="C7" s="94" t="s">
        <v>47</v>
      </c>
      <c r="D7" s="95">
        <v>3</v>
      </c>
      <c r="E7" s="96">
        <v>5</v>
      </c>
      <c r="F7" s="97">
        <v>18</v>
      </c>
      <c r="G7" s="68" t="s">
        <v>46</v>
      </c>
      <c r="H7" s="69">
        <v>8534</v>
      </c>
      <c r="I7" s="70">
        <f>'[1]MihrlineDX'!G85</f>
        <v>18</v>
      </c>
      <c r="J7" s="69">
        <v>8336</v>
      </c>
      <c r="K7" s="68"/>
      <c r="L7" s="68"/>
      <c r="M7" s="68"/>
      <c r="N7" s="62">
        <v>30</v>
      </c>
      <c r="O7" s="71">
        <v>28</v>
      </c>
      <c r="P7" s="72">
        <v>110636</v>
      </c>
      <c r="Q7" s="73">
        <v>103190.4</v>
      </c>
      <c r="R7" s="72">
        <v>1216750.8</v>
      </c>
      <c r="S7" s="74">
        <v>1028543.7</v>
      </c>
      <c r="T7" s="73">
        <f aca="true" t="shared" si="12" ref="T7:T70">S7*41.5</f>
        <v>42684563.55</v>
      </c>
      <c r="U7" s="76">
        <f>'[1]Annual'!R85</f>
        <v>0.56</v>
      </c>
      <c r="V7" s="72">
        <v>6701405.576578591</v>
      </c>
      <c r="W7" s="77">
        <f aca="true" t="shared" si="13" ref="W7:W32">V7/V$33</f>
        <v>0.11138259404207693</v>
      </c>
      <c r="X7" s="98">
        <f t="shared" si="0"/>
        <v>3.034736182184351</v>
      </c>
      <c r="Y7" s="79">
        <f t="shared" si="1"/>
        <v>3752787.1228840114</v>
      </c>
      <c r="Z7" s="72">
        <v>20336997.974735033</v>
      </c>
      <c r="AA7" s="99">
        <v>10108062.724749375</v>
      </c>
      <c r="AB7" s="81">
        <f t="shared" si="2"/>
        <v>6355275.601865364</v>
      </c>
      <c r="AC7" s="82">
        <f t="shared" si="3"/>
        <v>97.95545636754365</v>
      </c>
      <c r="AD7" s="83">
        <f t="shared" si="4"/>
        <v>9.827548138936027</v>
      </c>
      <c r="AE7" s="100">
        <f t="shared" si="5"/>
        <v>1.5083496453456047</v>
      </c>
      <c r="AF7" s="101">
        <f aca="true" t="shared" si="14" ref="AF7:AF70">AA7/Z7</f>
        <v>0.4970282603807493</v>
      </c>
      <c r="AG7" s="102">
        <f t="shared" si="6"/>
        <v>64.94214167770056</v>
      </c>
      <c r="AH7" s="103">
        <f t="shared" si="7"/>
        <v>0.4764485397844728</v>
      </c>
      <c r="AI7" s="104">
        <f t="shared" si="8"/>
        <v>0.9483496453456047</v>
      </c>
      <c r="AJ7" s="105">
        <f t="shared" si="9"/>
        <v>0.3124982167850251</v>
      </c>
      <c r="AK7" s="106">
        <f t="shared" si="10"/>
        <v>61.58785702803134</v>
      </c>
      <c r="AL7" s="87">
        <f t="shared" si="11"/>
        <v>6.178906741507789</v>
      </c>
    </row>
    <row r="8" spans="1:38" ht="12.75">
      <c r="A8" s="62">
        <v>81</v>
      </c>
      <c r="B8" s="107">
        <v>381</v>
      </c>
      <c r="C8" s="64" t="s">
        <v>48</v>
      </c>
      <c r="D8" s="65">
        <v>3</v>
      </c>
      <c r="E8" s="66">
        <v>18</v>
      </c>
      <c r="F8" s="67"/>
      <c r="G8" s="68" t="s">
        <v>46</v>
      </c>
      <c r="H8" s="69">
        <v>9413</v>
      </c>
      <c r="I8" s="70">
        <f>'[1]MihrlineDX'!G34</f>
        <v>19</v>
      </c>
      <c r="J8" s="69">
        <v>10594</v>
      </c>
      <c r="K8" s="68"/>
      <c r="L8" s="68"/>
      <c r="M8" s="68"/>
      <c r="N8" s="62">
        <v>31</v>
      </c>
      <c r="O8" s="71">
        <v>34</v>
      </c>
      <c r="P8" s="72">
        <v>124269.9</v>
      </c>
      <c r="Q8" s="73">
        <v>116488.5</v>
      </c>
      <c r="R8" s="72">
        <v>1599652.1</v>
      </c>
      <c r="S8" s="74">
        <v>1401504.1</v>
      </c>
      <c r="T8" s="73">
        <f t="shared" si="12"/>
        <v>58162420.150000006</v>
      </c>
      <c r="U8" s="76">
        <f>'[1]Annual'!R34</f>
        <v>0.56</v>
      </c>
      <c r="V8" s="72">
        <v>6255183.065487305</v>
      </c>
      <c r="W8" s="77">
        <f t="shared" si="13"/>
        <v>0.10396602743715104</v>
      </c>
      <c r="X8" s="98">
        <f t="shared" si="0"/>
        <v>3.9353314383725437</v>
      </c>
      <c r="Y8" s="79">
        <f t="shared" si="1"/>
        <v>3502902.516672891</v>
      </c>
      <c r="Z8" s="72">
        <v>24616218.570387732</v>
      </c>
      <c r="AA8" s="99">
        <v>12114734.215403082</v>
      </c>
      <c r="AB8" s="81">
        <f t="shared" si="2"/>
        <v>8611831.698730191</v>
      </c>
      <c r="AC8" s="82">
        <f t="shared" si="3"/>
        <v>103.99940093144887</v>
      </c>
      <c r="AD8" s="83">
        <f t="shared" si="4"/>
        <v>8.644094737505998</v>
      </c>
      <c r="AE8" s="100">
        <f t="shared" si="5"/>
        <v>1.9367513450158782</v>
      </c>
      <c r="AF8" s="101">
        <f t="shared" si="14"/>
        <v>0.4921444039328036</v>
      </c>
      <c r="AG8" s="102">
        <f t="shared" si="6"/>
        <v>53.697859149077416</v>
      </c>
      <c r="AH8" s="103">
        <f t="shared" si="7"/>
        <v>0.4232323639027206</v>
      </c>
      <c r="AI8" s="104">
        <f t="shared" si="8"/>
        <v>1.3767513450158781</v>
      </c>
      <c r="AJ8" s="105">
        <f t="shared" si="9"/>
        <v>0.34984381025483174</v>
      </c>
      <c r="AK8" s="106">
        <f t="shared" si="10"/>
        <v>73.92859980796551</v>
      </c>
      <c r="AL8" s="87">
        <f t="shared" si="11"/>
        <v>6.144706746651822</v>
      </c>
    </row>
    <row r="9" spans="1:38" ht="22.5">
      <c r="A9" s="92">
        <v>180</v>
      </c>
      <c r="B9" s="93" t="s">
        <v>49</v>
      </c>
      <c r="C9" s="94" t="s">
        <v>50</v>
      </c>
      <c r="D9" s="95">
        <v>3</v>
      </c>
      <c r="E9" s="96"/>
      <c r="F9" s="97"/>
      <c r="G9" s="68" t="s">
        <v>46</v>
      </c>
      <c r="H9" s="69">
        <v>7165</v>
      </c>
      <c r="I9" s="70">
        <f>'[1]MihrlineDX'!G65</f>
        <v>20</v>
      </c>
      <c r="J9" s="69">
        <v>8809</v>
      </c>
      <c r="K9" s="68"/>
      <c r="L9" s="68"/>
      <c r="M9" s="68"/>
      <c r="N9" s="62">
        <v>23</v>
      </c>
      <c r="O9" s="71">
        <v>27</v>
      </c>
      <c r="P9" s="72">
        <v>117301.5</v>
      </c>
      <c r="Q9" s="73">
        <v>109301.2</v>
      </c>
      <c r="R9" s="72">
        <v>1454147.3</v>
      </c>
      <c r="S9" s="74">
        <v>1235917.1</v>
      </c>
      <c r="T9" s="73">
        <f t="shared" si="12"/>
        <v>51290559.650000006</v>
      </c>
      <c r="U9" s="76">
        <f>'[1]Annual'!R65</f>
        <v>0.56</v>
      </c>
      <c r="V9" s="72">
        <v>5906714.793698769</v>
      </c>
      <c r="W9" s="77">
        <f t="shared" si="13"/>
        <v>0.09817421262910254</v>
      </c>
      <c r="X9" s="98">
        <f t="shared" si="0"/>
        <v>4.120632415304491</v>
      </c>
      <c r="Y9" s="79">
        <f t="shared" si="1"/>
        <v>3307760.284471311</v>
      </c>
      <c r="Z9" s="72">
        <v>24339400.446873724</v>
      </c>
      <c r="AA9" s="99">
        <v>10947353.060815355</v>
      </c>
      <c r="AB9" s="81">
        <f t="shared" si="2"/>
        <v>7639592.776344044</v>
      </c>
      <c r="AC9" s="82">
        <f t="shared" si="3"/>
        <v>100.15766579703933</v>
      </c>
      <c r="AD9" s="83">
        <f t="shared" si="4"/>
        <v>8.857675859339881</v>
      </c>
      <c r="AE9" s="100">
        <f t="shared" si="5"/>
        <v>1.853374243241589</v>
      </c>
      <c r="AF9" s="101">
        <f t="shared" si="14"/>
        <v>0.44977907671597916</v>
      </c>
      <c r="AG9" s="102">
        <f t="shared" si="6"/>
        <v>54.04071312756648</v>
      </c>
      <c r="AH9" s="103">
        <f t="shared" si="7"/>
        <v>0.4745395763462628</v>
      </c>
      <c r="AI9" s="104">
        <f t="shared" si="8"/>
        <v>1.2933742432415891</v>
      </c>
      <c r="AJ9" s="105">
        <f t="shared" si="9"/>
        <v>0.313877607339556</v>
      </c>
      <c r="AK9" s="106">
        <f t="shared" si="10"/>
        <v>69.8948664456021</v>
      </c>
      <c r="AL9" s="87">
        <f t="shared" si="11"/>
        <v>6.181314892676898</v>
      </c>
    </row>
    <row r="10" spans="1:38" ht="12.75">
      <c r="A10" s="62">
        <v>70</v>
      </c>
      <c r="B10" s="107">
        <v>370</v>
      </c>
      <c r="C10" s="64" t="s">
        <v>51</v>
      </c>
      <c r="D10" s="108">
        <v>9</v>
      </c>
      <c r="E10" s="66"/>
      <c r="F10" s="67"/>
      <c r="G10" s="68" t="s">
        <v>46</v>
      </c>
      <c r="H10" s="69">
        <v>7883</v>
      </c>
      <c r="I10" s="70">
        <f>'[1]MihrlineDX'!G31</f>
        <v>15</v>
      </c>
      <c r="J10" s="69">
        <v>7118</v>
      </c>
      <c r="K10" s="68"/>
      <c r="L10" s="68"/>
      <c r="M10" s="68"/>
      <c r="N10" s="62">
        <v>25</v>
      </c>
      <c r="O10" s="71">
        <v>22</v>
      </c>
      <c r="P10" s="72">
        <v>95124.6</v>
      </c>
      <c r="Q10" s="73">
        <v>93355.2</v>
      </c>
      <c r="R10" s="72">
        <v>1196922.6</v>
      </c>
      <c r="S10" s="74">
        <v>1167375.6</v>
      </c>
      <c r="T10" s="73">
        <f t="shared" si="12"/>
        <v>48446087.400000006</v>
      </c>
      <c r="U10" s="76">
        <f>'[1]Annual'!R31</f>
        <v>0.56</v>
      </c>
      <c r="V10" s="72">
        <v>5277135.627181507</v>
      </c>
      <c r="W10" s="77">
        <f t="shared" si="13"/>
        <v>0.08771011522144448</v>
      </c>
      <c r="X10" s="98">
        <f t="shared" si="0"/>
        <v>5.078711125992921</v>
      </c>
      <c r="Y10" s="79">
        <f t="shared" si="1"/>
        <v>2955195.951221644</v>
      </c>
      <c r="Z10" s="72">
        <v>26801047.42314035</v>
      </c>
      <c r="AA10" s="99">
        <v>9841804.469088744</v>
      </c>
      <c r="AB10" s="81">
        <f t="shared" si="2"/>
        <v>6886608.5178671</v>
      </c>
      <c r="AC10" s="82">
        <f t="shared" si="3"/>
        <v>105.42320587486016</v>
      </c>
      <c r="AD10" s="83">
        <f t="shared" si="4"/>
        <v>8.430709421276873</v>
      </c>
      <c r="AE10" s="83">
        <f t="shared" si="5"/>
        <v>1.864989866547206</v>
      </c>
      <c r="AF10" s="84">
        <f t="shared" si="14"/>
        <v>0.3672171581096943</v>
      </c>
      <c r="AG10" s="85">
        <f t="shared" si="6"/>
        <v>56.527495278051</v>
      </c>
      <c r="AH10" s="103">
        <f t="shared" si="7"/>
        <v>0.5532138684772374</v>
      </c>
      <c r="AI10" s="87">
        <f t="shared" si="8"/>
        <v>1.304989866547206</v>
      </c>
      <c r="AJ10" s="109">
        <f t="shared" si="9"/>
        <v>0.2569529619174928</v>
      </c>
      <c r="AK10" s="106">
        <f t="shared" si="10"/>
        <v>73.76780851915159</v>
      </c>
      <c r="AL10" s="87">
        <f t="shared" si="11"/>
        <v>5.8992225962810085</v>
      </c>
    </row>
    <row r="11" spans="1:38" ht="12.75">
      <c r="A11" s="92">
        <v>260</v>
      </c>
      <c r="B11" s="93"/>
      <c r="C11" s="94" t="s">
        <v>52</v>
      </c>
      <c r="D11" s="110">
        <v>9</v>
      </c>
      <c r="E11" s="96">
        <v>18</v>
      </c>
      <c r="F11" s="97"/>
      <c r="G11" s="68" t="s">
        <v>46</v>
      </c>
      <c r="H11" s="69">
        <v>7056</v>
      </c>
      <c r="I11" s="70">
        <f>'[1]MihrlineDX'!G88</f>
        <v>17</v>
      </c>
      <c r="J11" s="69">
        <v>7264</v>
      </c>
      <c r="K11" s="68"/>
      <c r="L11" s="68"/>
      <c r="M11" s="68"/>
      <c r="N11" s="62">
        <v>24</v>
      </c>
      <c r="O11" s="71">
        <v>24</v>
      </c>
      <c r="P11" s="72">
        <v>96019.4</v>
      </c>
      <c r="Q11" s="73">
        <v>88744.2</v>
      </c>
      <c r="R11" s="72">
        <v>1311113.3</v>
      </c>
      <c r="S11" s="74">
        <v>1114003.2</v>
      </c>
      <c r="T11" s="73">
        <f t="shared" si="12"/>
        <v>46231132.8</v>
      </c>
      <c r="U11" s="76">
        <f>'[1]Annual'!R88</f>
        <v>0.56</v>
      </c>
      <c r="V11" s="72">
        <v>5210019.208049965</v>
      </c>
      <c r="W11" s="77">
        <f t="shared" si="13"/>
        <v>0.08659458792194576</v>
      </c>
      <c r="X11" s="98">
        <f t="shared" si="0"/>
        <v>3.980090468667384</v>
      </c>
      <c r="Y11" s="79">
        <f t="shared" si="1"/>
        <v>2917610.7565079806</v>
      </c>
      <c r="Z11" s="72">
        <v>20736347.79153366</v>
      </c>
      <c r="AA11" s="99">
        <v>9377317.053172832</v>
      </c>
      <c r="AB11" s="81">
        <f t="shared" si="2"/>
        <v>6459706.296664852</v>
      </c>
      <c r="AC11" s="82">
        <f t="shared" si="3"/>
        <v>105.66681600795131</v>
      </c>
      <c r="AD11" s="83">
        <f t="shared" si="4"/>
        <v>8.417675149562257</v>
      </c>
      <c r="AE11" s="100">
        <f t="shared" si="5"/>
        <v>1.7998622804852626</v>
      </c>
      <c r="AF11" s="101">
        <f t="shared" si="14"/>
        <v>0.45221642438893944</v>
      </c>
      <c r="AG11" s="102">
        <f t="shared" si="6"/>
        <v>58.708278490875635</v>
      </c>
      <c r="AH11" s="103">
        <f t="shared" si="7"/>
        <v>0.4485364414763737</v>
      </c>
      <c r="AI11" s="104">
        <f t="shared" si="8"/>
        <v>1.2398622804852626</v>
      </c>
      <c r="AJ11" s="105">
        <f t="shared" si="9"/>
        <v>0.3115161050347667</v>
      </c>
      <c r="AK11" s="106">
        <f t="shared" si="10"/>
        <v>72.79018005306095</v>
      </c>
      <c r="AL11" s="87">
        <f t="shared" si="11"/>
        <v>5.798642496417292</v>
      </c>
    </row>
    <row r="12" spans="1:38" ht="12.75">
      <c r="A12" s="62">
        <v>76</v>
      </c>
      <c r="B12" s="107"/>
      <c r="C12" s="64" t="s">
        <v>53</v>
      </c>
      <c r="D12" s="108">
        <v>9</v>
      </c>
      <c r="E12" s="66"/>
      <c r="F12" s="67"/>
      <c r="G12" s="68" t="s">
        <v>46</v>
      </c>
      <c r="H12" s="69">
        <v>4865</v>
      </c>
      <c r="I12" s="70">
        <f>'[1]MihrlineDX'!G32</f>
        <v>13</v>
      </c>
      <c r="J12" s="69">
        <v>4917</v>
      </c>
      <c r="K12" s="68"/>
      <c r="L12" s="68"/>
      <c r="M12" s="68"/>
      <c r="N12" s="62">
        <v>15</v>
      </c>
      <c r="O12" s="71">
        <v>15</v>
      </c>
      <c r="P12" s="72">
        <v>71279.1</v>
      </c>
      <c r="Q12" s="73">
        <v>69863.2</v>
      </c>
      <c r="R12" s="72">
        <v>785332.5</v>
      </c>
      <c r="S12" s="74">
        <v>758881.8</v>
      </c>
      <c r="T12" s="73">
        <f t="shared" si="12"/>
        <v>31493594.700000003</v>
      </c>
      <c r="U12" s="76">
        <f>'[1]Annual'!R32</f>
        <v>0.56</v>
      </c>
      <c r="V12" s="72">
        <v>3545418.786150842</v>
      </c>
      <c r="W12" s="77">
        <f t="shared" si="13"/>
        <v>0.058927628965953126</v>
      </c>
      <c r="X12" s="98">
        <f t="shared" si="0"/>
        <v>4.915239734112483</v>
      </c>
      <c r="Y12" s="79">
        <f t="shared" si="1"/>
        <v>1985434.5202444717</v>
      </c>
      <c r="Z12" s="72">
        <v>17426583.291757468</v>
      </c>
      <c r="AA12" s="99">
        <v>6967129.546589538</v>
      </c>
      <c r="AB12" s="81">
        <f t="shared" si="2"/>
        <v>4981695.026345067</v>
      </c>
      <c r="AC12" s="82">
        <f t="shared" si="3"/>
        <v>99.72531385034667</v>
      </c>
      <c r="AD12" s="83">
        <f t="shared" si="4"/>
        <v>9.18078355099508</v>
      </c>
      <c r="AE12" s="83">
        <f t="shared" si="5"/>
        <v>1.9651076408250063</v>
      </c>
      <c r="AF12" s="84">
        <f t="shared" si="14"/>
        <v>0.39979894107440406</v>
      </c>
      <c r="AG12" s="85">
        <f t="shared" si="6"/>
        <v>50.74801592470488</v>
      </c>
      <c r="AH12" s="103">
        <f t="shared" si="7"/>
        <v>0.5533373836095461</v>
      </c>
      <c r="AI12" s="87">
        <f t="shared" si="8"/>
        <v>1.4051076408250063</v>
      </c>
      <c r="AJ12" s="109">
        <f t="shared" si="9"/>
        <v>0.2858675704204931</v>
      </c>
      <c r="AK12" s="106">
        <f t="shared" si="10"/>
        <v>71.30642493251192</v>
      </c>
      <c r="AL12" s="87">
        <f t="shared" si="11"/>
        <v>6.564520359224673</v>
      </c>
    </row>
    <row r="13" spans="1:38" ht="12.75">
      <c r="A13" s="62">
        <v>78</v>
      </c>
      <c r="B13" s="107">
        <v>79</v>
      </c>
      <c r="C13" s="64" t="s">
        <v>54</v>
      </c>
      <c r="D13" s="108">
        <v>9</v>
      </c>
      <c r="E13" s="66"/>
      <c r="F13" s="67"/>
      <c r="G13" s="68" t="s">
        <v>46</v>
      </c>
      <c r="H13" s="69">
        <v>7363</v>
      </c>
      <c r="I13" s="70">
        <f>'[1]MihrlineDX'!G33</f>
        <v>13</v>
      </c>
      <c r="J13" s="69">
        <v>6447</v>
      </c>
      <c r="K13" s="68"/>
      <c r="L13" s="68"/>
      <c r="M13" s="68"/>
      <c r="N13" s="62">
        <v>25</v>
      </c>
      <c r="O13" s="71">
        <v>21</v>
      </c>
      <c r="P13" s="72">
        <v>85772.3</v>
      </c>
      <c r="Q13" s="73">
        <v>80093.6</v>
      </c>
      <c r="R13" s="72">
        <v>1138106.5</v>
      </c>
      <c r="S13" s="74">
        <v>1017981.1</v>
      </c>
      <c r="T13" s="73">
        <f t="shared" si="12"/>
        <v>42246215.65</v>
      </c>
      <c r="U13" s="76">
        <f>'[1]Annual'!R33</f>
        <v>0.56</v>
      </c>
      <c r="V13" s="72">
        <v>3360523.615154109</v>
      </c>
      <c r="W13" s="77">
        <f t="shared" si="13"/>
        <v>0.05585452683295495</v>
      </c>
      <c r="X13" s="98">
        <f t="shared" si="0"/>
        <v>5.837895564208152</v>
      </c>
      <c r="Y13" s="79">
        <f t="shared" si="1"/>
        <v>1881893.2244863012</v>
      </c>
      <c r="Z13" s="72">
        <v>19618385.906324916</v>
      </c>
      <c r="AA13" s="99">
        <v>8562581.468617043</v>
      </c>
      <c r="AB13" s="81">
        <f t="shared" si="2"/>
        <v>6680688.244130742</v>
      </c>
      <c r="AC13" s="82">
        <f t="shared" si="3"/>
        <v>106.90718694898271</v>
      </c>
      <c r="AD13" s="83">
        <f t="shared" si="4"/>
        <v>8.411336387892705</v>
      </c>
      <c r="AE13" s="100">
        <f t="shared" si="5"/>
        <v>2.5479902685416405</v>
      </c>
      <c r="AF13" s="84">
        <f t="shared" si="14"/>
        <v>0.4364569801767682</v>
      </c>
      <c r="AG13" s="85">
        <f t="shared" si="6"/>
        <v>41.957454967114835</v>
      </c>
      <c r="AH13" s="103">
        <f t="shared" si="7"/>
        <v>0.46438208972038225</v>
      </c>
      <c r="AI13" s="104">
        <f t="shared" si="8"/>
        <v>1.9879902685416406</v>
      </c>
      <c r="AJ13" s="109">
        <f t="shared" si="9"/>
        <v>0.34053200278708484</v>
      </c>
      <c r="AK13" s="106">
        <f t="shared" si="10"/>
        <v>83.41101216739841</v>
      </c>
      <c r="AL13" s="87">
        <f t="shared" si="11"/>
        <v>6.562683967443739</v>
      </c>
    </row>
    <row r="14" spans="1:38" ht="12.75">
      <c r="A14" s="92">
        <v>484</v>
      </c>
      <c r="B14" s="93"/>
      <c r="C14" s="94" t="s">
        <v>55</v>
      </c>
      <c r="D14" s="95">
        <v>9</v>
      </c>
      <c r="E14" s="96"/>
      <c r="F14" s="97"/>
      <c r="G14" s="68" t="s">
        <v>46</v>
      </c>
      <c r="H14" s="69">
        <v>5261</v>
      </c>
      <c r="I14" s="70">
        <f>'[1]MihrlineDX'!G106</f>
        <v>10</v>
      </c>
      <c r="J14" s="69">
        <v>5068</v>
      </c>
      <c r="K14" s="68"/>
      <c r="L14" s="68"/>
      <c r="M14" s="68"/>
      <c r="N14" s="62">
        <v>19</v>
      </c>
      <c r="O14" s="71">
        <v>16</v>
      </c>
      <c r="P14" s="72">
        <v>77313.8</v>
      </c>
      <c r="Q14" s="73">
        <v>72196.6</v>
      </c>
      <c r="R14" s="72">
        <v>1499944.4</v>
      </c>
      <c r="S14" s="74">
        <v>1320130.6</v>
      </c>
      <c r="T14" s="73">
        <f t="shared" si="12"/>
        <v>54785419.900000006</v>
      </c>
      <c r="U14" s="76">
        <f>'[1]Annual'!R106</f>
        <v>0.78</v>
      </c>
      <c r="V14" s="72">
        <v>1881161.1043956045</v>
      </c>
      <c r="W14" s="77">
        <f t="shared" si="13"/>
        <v>0.0312663666188095</v>
      </c>
      <c r="X14" s="98">
        <f t="shared" si="0"/>
        <v>8.414841546250466</v>
      </c>
      <c r="Y14" s="79">
        <f t="shared" si="1"/>
        <v>1467305.6614285714</v>
      </c>
      <c r="Z14" s="72">
        <v>15829672.616458545</v>
      </c>
      <c r="AA14" s="99">
        <v>9055370.427622505</v>
      </c>
      <c r="AB14" s="81">
        <f t="shared" si="2"/>
        <v>7588064.766193933</v>
      </c>
      <c r="AC14" s="82">
        <f t="shared" si="3"/>
        <v>125.42654955527689</v>
      </c>
      <c r="AD14" s="83">
        <f t="shared" si="4"/>
        <v>6.859450441965745</v>
      </c>
      <c r="AE14" s="111">
        <f t="shared" si="5"/>
        <v>4.8137134062911064</v>
      </c>
      <c r="AF14" s="101">
        <f t="shared" si="14"/>
        <v>0.5720503921355511</v>
      </c>
      <c r="AG14" s="112">
        <f t="shared" si="6"/>
        <v>26.056089959854123</v>
      </c>
      <c r="AH14" s="113">
        <f t="shared" si="7"/>
        <v>0.288939514296915</v>
      </c>
      <c r="AI14" s="114">
        <f t="shared" si="8"/>
        <v>4.033713406291106</v>
      </c>
      <c r="AJ14" s="105">
        <f t="shared" si="9"/>
        <v>0.4793570246237698</v>
      </c>
      <c r="AK14" s="115">
        <f t="shared" si="10"/>
        <v>105.10279938659068</v>
      </c>
      <c r="AL14" s="87">
        <f t="shared" si="11"/>
        <v>5.747965213588665</v>
      </c>
    </row>
    <row r="15" spans="1:38" ht="12.75">
      <c r="A15" s="92">
        <v>483</v>
      </c>
      <c r="B15" s="93">
        <v>485</v>
      </c>
      <c r="C15" s="94" t="s">
        <v>56</v>
      </c>
      <c r="D15" s="95">
        <v>3</v>
      </c>
      <c r="E15" s="96"/>
      <c r="F15" s="97"/>
      <c r="G15" s="68" t="s">
        <v>46</v>
      </c>
      <c r="H15" s="69">
        <v>4147</v>
      </c>
      <c r="I15" s="70">
        <f>'[1]MihrlineDX'!G105</f>
        <v>8</v>
      </c>
      <c r="J15" s="69">
        <v>3382</v>
      </c>
      <c r="K15" s="68"/>
      <c r="L15" s="68"/>
      <c r="M15" s="68"/>
      <c r="N15" s="62">
        <v>13</v>
      </c>
      <c r="O15" s="71">
        <v>10</v>
      </c>
      <c r="P15" s="72">
        <v>54941.9</v>
      </c>
      <c r="Q15" s="73">
        <v>51066</v>
      </c>
      <c r="R15" s="72">
        <v>772466.3</v>
      </c>
      <c r="S15" s="74">
        <v>683462</v>
      </c>
      <c r="T15" s="73">
        <f t="shared" si="12"/>
        <v>28363673</v>
      </c>
      <c r="U15" s="76">
        <f>'[1]Annual'!R105</f>
        <v>0.6</v>
      </c>
      <c r="V15" s="72">
        <v>1807879.7392038025</v>
      </c>
      <c r="W15" s="77">
        <f t="shared" si="13"/>
        <v>0.0300483731013697</v>
      </c>
      <c r="X15" s="98">
        <f t="shared" si="0"/>
        <v>6.760787282041603</v>
      </c>
      <c r="Y15" s="79">
        <f t="shared" si="1"/>
        <v>1084727.8435222814</v>
      </c>
      <c r="Z15" s="72">
        <v>12222690.348269759</v>
      </c>
      <c r="AA15" s="99">
        <v>5488283.704253802</v>
      </c>
      <c r="AB15" s="81">
        <f t="shared" si="2"/>
        <v>4403555.860731521</v>
      </c>
      <c r="AC15" s="82">
        <f t="shared" si="3"/>
        <v>107.47432154963776</v>
      </c>
      <c r="AD15" s="83">
        <f t="shared" si="4"/>
        <v>8.030122675809046</v>
      </c>
      <c r="AE15" s="116">
        <f t="shared" si="5"/>
        <v>3.0357570723541953</v>
      </c>
      <c r="AF15" s="101">
        <f t="shared" si="14"/>
        <v>0.44902419580896297</v>
      </c>
      <c r="AG15" s="102">
        <f t="shared" si="6"/>
        <v>35.402806940112846</v>
      </c>
      <c r="AH15" s="103">
        <f t="shared" si="7"/>
        <v>0.4309276287408108</v>
      </c>
      <c r="AI15" s="117">
        <f t="shared" si="8"/>
        <v>2.4357570723541957</v>
      </c>
      <c r="AJ15" s="105">
        <f t="shared" si="9"/>
        <v>0.3602771350052967</v>
      </c>
      <c r="AK15" s="106">
        <f t="shared" si="10"/>
        <v>86.23263738557006</v>
      </c>
      <c r="AL15" s="87">
        <f t="shared" si="11"/>
        <v>6.443014916310666</v>
      </c>
    </row>
    <row r="16" spans="1:38" ht="12.75">
      <c r="A16" s="92">
        <v>490</v>
      </c>
      <c r="B16" s="93"/>
      <c r="C16" s="94" t="s">
        <v>57</v>
      </c>
      <c r="D16" s="110">
        <v>9</v>
      </c>
      <c r="E16" s="96"/>
      <c r="F16" s="97"/>
      <c r="G16" s="68" t="s">
        <v>46</v>
      </c>
      <c r="H16" s="69">
        <v>3221</v>
      </c>
      <c r="I16" s="70">
        <f>'[1]MihrlineDX'!G109</f>
        <v>9</v>
      </c>
      <c r="J16" s="69">
        <v>4345</v>
      </c>
      <c r="K16" s="68"/>
      <c r="L16" s="68"/>
      <c r="M16" s="68"/>
      <c r="N16" s="62">
        <v>11</v>
      </c>
      <c r="O16" s="71">
        <v>15</v>
      </c>
      <c r="P16" s="72">
        <v>48494</v>
      </c>
      <c r="Q16" s="73">
        <v>45209.9</v>
      </c>
      <c r="R16" s="72">
        <v>912881.2</v>
      </c>
      <c r="S16" s="74">
        <v>802084.9</v>
      </c>
      <c r="T16" s="73">
        <f t="shared" si="12"/>
        <v>33286523.35</v>
      </c>
      <c r="U16" s="76">
        <f>'[1]Annual'!R109</f>
        <v>0.78</v>
      </c>
      <c r="V16" s="72">
        <v>1111875.9673913042</v>
      </c>
      <c r="W16" s="77">
        <f t="shared" si="13"/>
        <v>0.018480246880433655</v>
      </c>
      <c r="X16" s="98">
        <f t="shared" si="0"/>
        <v>8.474617348737421</v>
      </c>
      <c r="Y16" s="79">
        <f t="shared" si="1"/>
        <v>867263.2545652173</v>
      </c>
      <c r="Z16" s="72">
        <v>9422723.36289855</v>
      </c>
      <c r="AA16" s="99">
        <v>5508615.929943426</v>
      </c>
      <c r="AB16" s="81">
        <f t="shared" si="2"/>
        <v>4641352.675378208</v>
      </c>
      <c r="AC16" s="82">
        <f t="shared" si="3"/>
        <v>121.84534648259398</v>
      </c>
      <c r="AD16" s="83">
        <f t="shared" si="4"/>
        <v>6.867871381126144</v>
      </c>
      <c r="AE16" s="111">
        <f t="shared" si="5"/>
        <v>4.9543439119992865</v>
      </c>
      <c r="AF16" s="101">
        <f t="shared" si="14"/>
        <v>0.5846097479241823</v>
      </c>
      <c r="AG16" s="112">
        <f t="shared" si="6"/>
        <v>24.593639167335123</v>
      </c>
      <c r="AH16" s="113">
        <f t="shared" si="7"/>
        <v>0.2830792289065704</v>
      </c>
      <c r="AI16" s="114">
        <f t="shared" si="8"/>
        <v>4.174343911999286</v>
      </c>
      <c r="AJ16" s="105">
        <f t="shared" si="9"/>
        <v>0.49257019405379937</v>
      </c>
      <c r="AK16" s="115">
        <f t="shared" si="10"/>
        <v>102.66230793207258</v>
      </c>
      <c r="AL16" s="87">
        <f t="shared" si="11"/>
        <v>5.786610214677035</v>
      </c>
    </row>
    <row r="17" spans="1:38" ht="12.75">
      <c r="A17" s="92">
        <v>188</v>
      </c>
      <c r="B17" s="93"/>
      <c r="C17" s="94" t="s">
        <v>58</v>
      </c>
      <c r="D17" s="110">
        <v>9</v>
      </c>
      <c r="E17" s="96"/>
      <c r="F17" s="97"/>
      <c r="G17" s="68" t="s">
        <v>46</v>
      </c>
      <c r="H17" s="69">
        <v>1691</v>
      </c>
      <c r="I17" s="70">
        <f>'[1]MihrlineDX'!G66</f>
        <v>5</v>
      </c>
      <c r="J17" s="69">
        <v>1946</v>
      </c>
      <c r="K17" s="68"/>
      <c r="L17" s="68"/>
      <c r="M17" s="68"/>
      <c r="N17" s="62">
        <v>5</v>
      </c>
      <c r="O17" s="71">
        <v>6</v>
      </c>
      <c r="P17" s="72">
        <v>28847.1</v>
      </c>
      <c r="Q17" s="73">
        <v>26619.9</v>
      </c>
      <c r="R17" s="72">
        <v>342332.1</v>
      </c>
      <c r="S17" s="74">
        <v>283045</v>
      </c>
      <c r="T17" s="73">
        <f t="shared" si="12"/>
        <v>11746367.5</v>
      </c>
      <c r="U17" s="76">
        <f>'[1]Annual'!R66</f>
        <v>0.56</v>
      </c>
      <c r="V17" s="72">
        <v>982273.770531401</v>
      </c>
      <c r="W17" s="77">
        <f t="shared" si="13"/>
        <v>0.016326157157785057</v>
      </c>
      <c r="X17" s="98">
        <f t="shared" si="0"/>
        <v>3.8566357226589676</v>
      </c>
      <c r="Y17" s="79">
        <f t="shared" si="1"/>
        <v>550073.3114975847</v>
      </c>
      <c r="Z17" s="72">
        <v>3788272.1128623188</v>
      </c>
      <c r="AA17" s="99">
        <v>2634580.6997734644</v>
      </c>
      <c r="AB17" s="81">
        <f t="shared" si="2"/>
        <v>2084507.3882758797</v>
      </c>
      <c r="AC17" s="82">
        <f t="shared" si="3"/>
        <v>98.97034548489906</v>
      </c>
      <c r="AD17" s="83">
        <f t="shared" si="4"/>
        <v>9.307992367904271</v>
      </c>
      <c r="AE17" s="100">
        <f t="shared" si="5"/>
        <v>2.6821246569051524</v>
      </c>
      <c r="AF17" s="101">
        <f t="shared" si="14"/>
        <v>0.6954570900089974</v>
      </c>
      <c r="AG17" s="102">
        <f t="shared" si="6"/>
        <v>36.89997973438672</v>
      </c>
      <c r="AH17" s="103">
        <f t="shared" si="7"/>
        <v>0.3225058396020999</v>
      </c>
      <c r="AI17" s="117">
        <f t="shared" si="8"/>
        <v>2.1221246569051524</v>
      </c>
      <c r="AJ17" s="118">
        <f t="shared" si="9"/>
        <v>0.5502528134656306</v>
      </c>
      <c r="AK17" s="106">
        <f t="shared" si="10"/>
        <v>78.30635683364248</v>
      </c>
      <c r="AL17" s="117">
        <f t="shared" si="11"/>
        <v>7.364579442406259</v>
      </c>
    </row>
    <row r="18" spans="1:38" ht="12.75">
      <c r="A18" s="92">
        <v>401</v>
      </c>
      <c r="B18" s="93"/>
      <c r="C18" s="94" t="s">
        <v>59</v>
      </c>
      <c r="D18" s="95">
        <v>3</v>
      </c>
      <c r="E18" s="96"/>
      <c r="F18" s="97"/>
      <c r="G18" s="68" t="s">
        <v>46</v>
      </c>
      <c r="H18" s="69">
        <v>2758</v>
      </c>
      <c r="I18" s="70">
        <f>'[1]MihrlineDX'!G95</f>
        <v>4</v>
      </c>
      <c r="J18" s="69">
        <v>2503</v>
      </c>
      <c r="K18" s="68"/>
      <c r="L18" s="68"/>
      <c r="M18" s="68"/>
      <c r="N18" s="62">
        <v>10</v>
      </c>
      <c r="O18" s="71">
        <v>9</v>
      </c>
      <c r="P18" s="72">
        <v>30745</v>
      </c>
      <c r="Q18" s="73">
        <v>27392.5</v>
      </c>
      <c r="R18" s="72">
        <v>491645.9</v>
      </c>
      <c r="S18" s="74">
        <v>395173.5</v>
      </c>
      <c r="T18" s="73">
        <f t="shared" si="12"/>
        <v>16399700.25</v>
      </c>
      <c r="U18" s="76">
        <f>'[1]Annual'!R95</f>
        <v>0.6</v>
      </c>
      <c r="V18" s="72">
        <v>900154.8909755489</v>
      </c>
      <c r="W18" s="77">
        <f t="shared" si="13"/>
        <v>0.014961277250094185</v>
      </c>
      <c r="X18" s="98">
        <f t="shared" si="0"/>
        <v>8.68086124400902</v>
      </c>
      <c r="Y18" s="79">
        <f t="shared" si="1"/>
        <v>540092.9345853293</v>
      </c>
      <c r="Z18" s="72">
        <v>7814119.706674807</v>
      </c>
      <c r="AA18" s="99">
        <v>3098221.9124964946</v>
      </c>
      <c r="AB18" s="81">
        <f t="shared" si="2"/>
        <v>2558128.9779111654</v>
      </c>
      <c r="AC18" s="82">
        <f t="shared" si="3"/>
        <v>113.10475175673979</v>
      </c>
      <c r="AD18" s="83">
        <f t="shared" si="4"/>
        <v>7.840156064352732</v>
      </c>
      <c r="AE18" s="116">
        <f t="shared" si="5"/>
        <v>3.4418764409964777</v>
      </c>
      <c r="AF18" s="101">
        <f t="shared" si="14"/>
        <v>0.39649020347743064</v>
      </c>
      <c r="AG18" s="119">
        <f t="shared" si="6"/>
        <v>32.86136318246049</v>
      </c>
      <c r="AH18" s="103">
        <f t="shared" si="7"/>
        <v>0.47647942264522836</v>
      </c>
      <c r="AI18" s="114">
        <f t="shared" si="8"/>
        <v>2.841876440996478</v>
      </c>
      <c r="AJ18" s="105">
        <f t="shared" si="9"/>
        <v>0.3273726374739328</v>
      </c>
      <c r="AK18" s="115">
        <f t="shared" si="10"/>
        <v>93.3879338472635</v>
      </c>
      <c r="AL18" s="87">
        <f t="shared" si="11"/>
        <v>6.473432499677143</v>
      </c>
    </row>
    <row r="19" spans="1:38" ht="25.5" customHeight="1">
      <c r="A19" s="92">
        <v>487</v>
      </c>
      <c r="B19" s="93">
        <v>491</v>
      </c>
      <c r="C19" s="94" t="s">
        <v>60</v>
      </c>
      <c r="D19" s="110">
        <v>9</v>
      </c>
      <c r="E19" s="96"/>
      <c r="F19" s="97"/>
      <c r="G19" s="68" t="s">
        <v>46</v>
      </c>
      <c r="H19" s="69">
        <v>3424</v>
      </c>
      <c r="I19" s="70">
        <f>'[1]MihrlineDX'!G107</f>
        <v>4</v>
      </c>
      <c r="J19" s="69">
        <v>3424</v>
      </c>
      <c r="K19" s="68"/>
      <c r="L19" s="68"/>
      <c r="M19" s="68"/>
      <c r="N19" s="62">
        <v>12</v>
      </c>
      <c r="O19" s="71">
        <v>12</v>
      </c>
      <c r="P19" s="72">
        <v>38171.6</v>
      </c>
      <c r="Q19" s="73">
        <v>34879.9</v>
      </c>
      <c r="R19" s="72">
        <v>677787.1</v>
      </c>
      <c r="S19" s="74">
        <v>590864.2</v>
      </c>
      <c r="T19" s="73">
        <f t="shared" si="12"/>
        <v>24520864.299999997</v>
      </c>
      <c r="U19" s="76">
        <f>'[1]Annual'!R107</f>
        <v>1.02</v>
      </c>
      <c r="V19" s="72">
        <v>787298.7504830915</v>
      </c>
      <c r="W19" s="77">
        <f t="shared" si="13"/>
        <v>0.013085520061847012</v>
      </c>
      <c r="X19" s="98">
        <f t="shared" si="0"/>
        <v>7.979908901200506</v>
      </c>
      <c r="Y19" s="79">
        <f t="shared" si="1"/>
        <v>803044.7254927533</v>
      </c>
      <c r="Z19" s="72">
        <v>6282572.306884058</v>
      </c>
      <c r="AA19" s="99">
        <v>4224301.659658487</v>
      </c>
      <c r="AB19" s="81">
        <f t="shared" si="2"/>
        <v>3421256.934165734</v>
      </c>
      <c r="AC19" s="82">
        <f t="shared" si="3"/>
        <v>121.10991314936358</v>
      </c>
      <c r="AD19" s="83">
        <f t="shared" si="4"/>
        <v>7.149361324748542</v>
      </c>
      <c r="AE19" s="111">
        <f t="shared" si="5"/>
        <v>5.36556378003449</v>
      </c>
      <c r="AF19" s="101">
        <f t="shared" si="14"/>
        <v>0.672384089400731</v>
      </c>
      <c r="AG19" s="112">
        <f t="shared" si="6"/>
        <v>22.571703201072577</v>
      </c>
      <c r="AH19" s="113">
        <f t="shared" si="7"/>
        <v>0.256213330412014</v>
      </c>
      <c r="AI19" s="114">
        <f t="shared" si="8"/>
        <v>4.345563780034491</v>
      </c>
      <c r="AJ19" s="118">
        <f t="shared" si="9"/>
        <v>0.5445630813380261</v>
      </c>
      <c r="AK19" s="115">
        <f t="shared" si="10"/>
        <v>98.08677588426956</v>
      </c>
      <c r="AL19" s="87">
        <f t="shared" si="11"/>
        <v>5.790259308595332</v>
      </c>
    </row>
    <row r="20" spans="1:38" ht="12.75">
      <c r="A20" s="92">
        <v>268</v>
      </c>
      <c r="B20" s="93"/>
      <c r="C20" s="94" t="s">
        <v>61</v>
      </c>
      <c r="D20" s="110">
        <v>9</v>
      </c>
      <c r="E20" s="96"/>
      <c r="F20" s="97"/>
      <c r="G20" s="68" t="s">
        <v>46</v>
      </c>
      <c r="H20" s="69">
        <v>2352</v>
      </c>
      <c r="I20" s="70">
        <f>'[1]MihrlineDX'!G92</f>
        <v>4</v>
      </c>
      <c r="J20" s="69">
        <v>1332</v>
      </c>
      <c r="K20" s="68"/>
      <c r="L20" s="68"/>
      <c r="M20" s="68"/>
      <c r="N20" s="62">
        <v>8</v>
      </c>
      <c r="O20" s="71">
        <v>4</v>
      </c>
      <c r="P20" s="72">
        <v>24607.8</v>
      </c>
      <c r="Q20" s="73">
        <v>21530</v>
      </c>
      <c r="R20" s="72">
        <v>354313.7</v>
      </c>
      <c r="S20" s="74">
        <v>276893.3</v>
      </c>
      <c r="T20" s="73">
        <f t="shared" si="12"/>
        <v>11491071.95</v>
      </c>
      <c r="U20" s="76">
        <f>'[1]Annual'!R92</f>
        <v>0.56</v>
      </c>
      <c r="V20" s="72">
        <v>687514.5230986335</v>
      </c>
      <c r="W20" s="77">
        <f t="shared" si="13"/>
        <v>0.011427028277763745</v>
      </c>
      <c r="X20" s="98">
        <f t="shared" si="0"/>
        <v>4.5881437378125245</v>
      </c>
      <c r="Y20" s="79">
        <f t="shared" si="1"/>
        <v>385008.1329352348</v>
      </c>
      <c r="Z20" s="72">
        <v>3154415.4538101596</v>
      </c>
      <c r="AA20" s="99">
        <v>2374086.8879593424</v>
      </c>
      <c r="AB20" s="81">
        <f t="shared" si="2"/>
        <v>1989078.7550241076</v>
      </c>
      <c r="AC20" s="82">
        <f t="shared" si="3"/>
        <v>110.26878253410787</v>
      </c>
      <c r="AD20" s="83">
        <f t="shared" si="4"/>
        <v>8.574013484469804</v>
      </c>
      <c r="AE20" s="116">
        <f t="shared" si="5"/>
        <v>3.453144345604968</v>
      </c>
      <c r="AF20" s="120">
        <f t="shared" si="14"/>
        <v>0.7526234012998279</v>
      </c>
      <c r="AG20" s="121">
        <f t="shared" si="6"/>
        <v>31.932862196871042</v>
      </c>
      <c r="AH20" s="113">
        <f t="shared" si="7"/>
        <v>0.27451011250609736</v>
      </c>
      <c r="AI20" s="114">
        <f t="shared" si="8"/>
        <v>2.8931443456049677</v>
      </c>
      <c r="AJ20" s="118">
        <f t="shared" si="9"/>
        <v>0.6305696837179569</v>
      </c>
      <c r="AK20" s="115">
        <f t="shared" si="10"/>
        <v>92.38637970386009</v>
      </c>
      <c r="AL20" s="87">
        <f t="shared" si="11"/>
        <v>7.1835568250445485</v>
      </c>
    </row>
    <row r="21" spans="1:38" ht="12.75">
      <c r="A21" s="92">
        <v>267</v>
      </c>
      <c r="B21" s="93"/>
      <c r="C21" s="94" t="s">
        <v>62</v>
      </c>
      <c r="D21" s="110">
        <v>9</v>
      </c>
      <c r="E21" s="96"/>
      <c r="F21" s="97"/>
      <c r="G21" s="68" t="s">
        <v>46</v>
      </c>
      <c r="H21" s="69">
        <v>1842</v>
      </c>
      <c r="I21" s="70">
        <f>'[1]MihrlineDX'!G91</f>
        <v>4</v>
      </c>
      <c r="J21" s="69">
        <v>2607</v>
      </c>
      <c r="K21" s="68"/>
      <c r="L21" s="68"/>
      <c r="M21" s="68"/>
      <c r="N21" s="62">
        <v>6</v>
      </c>
      <c r="O21" s="71">
        <v>9</v>
      </c>
      <c r="P21" s="72">
        <v>18882.1</v>
      </c>
      <c r="Q21" s="73">
        <v>17424.1</v>
      </c>
      <c r="R21" s="72">
        <v>266933</v>
      </c>
      <c r="S21" s="74">
        <v>238689</v>
      </c>
      <c r="T21" s="73">
        <f t="shared" si="12"/>
        <v>9905593.5</v>
      </c>
      <c r="U21" s="76">
        <f>'[1]Annual'!R91</f>
        <v>0.56</v>
      </c>
      <c r="V21" s="72">
        <v>556504.7822612085</v>
      </c>
      <c r="W21" s="77">
        <f t="shared" si="13"/>
        <v>0.009249544075008973</v>
      </c>
      <c r="X21" s="98">
        <f t="shared" si="0"/>
        <v>5.317563746640308</v>
      </c>
      <c r="Y21" s="79">
        <f t="shared" si="1"/>
        <v>311642.67806627677</v>
      </c>
      <c r="Z21" s="72">
        <v>2959249.654984161</v>
      </c>
      <c r="AA21" s="99">
        <v>1986880.3160588094</v>
      </c>
      <c r="AB21" s="81">
        <f t="shared" si="2"/>
        <v>1675237.6379925327</v>
      </c>
      <c r="AC21" s="82">
        <f t="shared" si="3"/>
        <v>114.0305849977221</v>
      </c>
      <c r="AD21" s="83">
        <f t="shared" si="4"/>
        <v>8.324138590629687</v>
      </c>
      <c r="AE21" s="116">
        <f t="shared" si="5"/>
        <v>3.570284352248784</v>
      </c>
      <c r="AF21" s="101">
        <f t="shared" si="14"/>
        <v>0.6714135499559412</v>
      </c>
      <c r="AG21" s="121">
        <f t="shared" si="6"/>
        <v>31.938796394718153</v>
      </c>
      <c r="AH21" s="113">
        <f t="shared" si="7"/>
        <v>0.2987453154608213</v>
      </c>
      <c r="AI21" s="114">
        <f t="shared" si="8"/>
        <v>3.010284352248784</v>
      </c>
      <c r="AJ21" s="118">
        <f t="shared" si="9"/>
        <v>0.5661021655171906</v>
      </c>
      <c r="AK21" s="115">
        <f t="shared" si="10"/>
        <v>96.14485901667993</v>
      </c>
      <c r="AL21" s="87">
        <f t="shared" si="11"/>
        <v>7.018495355850218</v>
      </c>
    </row>
    <row r="22" spans="1:38" ht="12.75">
      <c r="A22" s="92">
        <v>259</v>
      </c>
      <c r="B22" s="93">
        <v>258</v>
      </c>
      <c r="C22" s="94" t="s">
        <v>63</v>
      </c>
      <c r="D22" s="110">
        <v>9</v>
      </c>
      <c r="E22" s="96"/>
      <c r="F22" s="97"/>
      <c r="G22" s="68" t="s">
        <v>46</v>
      </c>
      <c r="H22" s="69">
        <v>1275</v>
      </c>
      <c r="I22" s="70">
        <f>'[1]MihrlineDX'!G87</f>
        <v>4</v>
      </c>
      <c r="J22" s="69">
        <v>1275</v>
      </c>
      <c r="K22" s="68"/>
      <c r="L22" s="68"/>
      <c r="M22" s="68"/>
      <c r="N22" s="62">
        <v>5</v>
      </c>
      <c r="O22" s="71">
        <v>5</v>
      </c>
      <c r="P22" s="72">
        <v>17799</v>
      </c>
      <c r="Q22" s="73">
        <v>16677</v>
      </c>
      <c r="R22" s="72">
        <v>239266.5</v>
      </c>
      <c r="S22" s="74">
        <v>203260.5</v>
      </c>
      <c r="T22" s="73">
        <f t="shared" si="12"/>
        <v>8435310.75</v>
      </c>
      <c r="U22" s="76">
        <f>'[1]Annual'!R87</f>
        <v>0.56</v>
      </c>
      <c r="V22" s="72">
        <v>518342.8301886792</v>
      </c>
      <c r="W22" s="77">
        <f t="shared" si="13"/>
        <v>0.008615262629575572</v>
      </c>
      <c r="X22" s="98">
        <f t="shared" si="0"/>
        <v>3.698284664080049</v>
      </c>
      <c r="Y22" s="79">
        <f t="shared" si="1"/>
        <v>290271.9849056604</v>
      </c>
      <c r="Z22" s="72">
        <v>1916979.3396226412</v>
      </c>
      <c r="AA22" s="99">
        <v>1744668.471750667</v>
      </c>
      <c r="AB22" s="81">
        <f t="shared" si="2"/>
        <v>1454396.4868450067</v>
      </c>
      <c r="AC22" s="82">
        <f t="shared" si="3"/>
        <v>104.61524685199178</v>
      </c>
      <c r="AD22" s="83">
        <f t="shared" si="4"/>
        <v>8.583411296098687</v>
      </c>
      <c r="AE22" s="116">
        <f t="shared" si="5"/>
        <v>3.365858212248445</v>
      </c>
      <c r="AF22" s="120">
        <f t="shared" si="14"/>
        <v>0.9101133411767006</v>
      </c>
      <c r="AG22" s="121">
        <f t="shared" si="6"/>
        <v>31.081299405689226</v>
      </c>
      <c r="AH22" s="113">
        <f t="shared" si="7"/>
        <v>0.2272565168535897</v>
      </c>
      <c r="AI22" s="114">
        <f t="shared" si="8"/>
        <v>2.805858212248445</v>
      </c>
      <c r="AJ22" s="122">
        <f t="shared" si="9"/>
        <v>0.75869179014277</v>
      </c>
      <c r="AK22" s="106">
        <f t="shared" si="10"/>
        <v>87.20971918480582</v>
      </c>
      <c r="AL22" s="87">
        <f t="shared" si="11"/>
        <v>7.155332624120312</v>
      </c>
    </row>
    <row r="23" spans="1:38" ht="12.75">
      <c r="A23" s="92">
        <v>175</v>
      </c>
      <c r="B23" s="93"/>
      <c r="C23" s="94" t="s">
        <v>64</v>
      </c>
      <c r="D23" s="95">
        <v>3</v>
      </c>
      <c r="E23" s="96"/>
      <c r="F23" s="97"/>
      <c r="G23" s="68" t="s">
        <v>46</v>
      </c>
      <c r="H23" s="69">
        <v>1020</v>
      </c>
      <c r="I23" s="70">
        <f>'[1]MihrlineDX'!G63</f>
        <v>1</v>
      </c>
      <c r="J23" s="69">
        <v>510</v>
      </c>
      <c r="K23" s="68"/>
      <c r="L23" s="68"/>
      <c r="M23" s="68"/>
      <c r="N23" s="62">
        <v>4</v>
      </c>
      <c r="O23" s="71">
        <v>2</v>
      </c>
      <c r="P23" s="72">
        <v>9741</v>
      </c>
      <c r="Q23" s="73">
        <v>7191</v>
      </c>
      <c r="R23" s="72">
        <v>101923.5</v>
      </c>
      <c r="S23" s="74">
        <v>65076</v>
      </c>
      <c r="T23" s="73">
        <f>S23*40</f>
        <v>2603040</v>
      </c>
      <c r="U23" s="76">
        <f>'[1]Annual'!R63</f>
        <v>0.56</v>
      </c>
      <c r="V23" s="72">
        <v>424158.8541666666</v>
      </c>
      <c r="W23" s="77">
        <f t="shared" si="13"/>
        <v>0.007049851396566087</v>
      </c>
      <c r="X23" s="98">
        <f t="shared" si="0"/>
        <v>1.9095981630309988</v>
      </c>
      <c r="Y23" s="79">
        <f t="shared" si="1"/>
        <v>237528.95833333334</v>
      </c>
      <c r="Z23" s="72">
        <v>809972.9687499999</v>
      </c>
      <c r="AA23" s="99">
        <v>765118.727191289</v>
      </c>
      <c r="AB23" s="81">
        <f t="shared" si="2"/>
        <v>527589.7688579556</v>
      </c>
      <c r="AC23" s="82">
        <f t="shared" si="3"/>
        <v>106.39948924924057</v>
      </c>
      <c r="AD23" s="100">
        <f t="shared" si="4"/>
        <v>11.757310332400408</v>
      </c>
      <c r="AE23" s="100">
        <f t="shared" si="5"/>
        <v>1.803849476853423</v>
      </c>
      <c r="AF23" s="120">
        <f t="shared" si="14"/>
        <v>0.9446225450857542</v>
      </c>
      <c r="AG23" s="102">
        <f t="shared" si="6"/>
        <v>58.98468282111899</v>
      </c>
      <c r="AH23" s="103">
        <f t="shared" si="7"/>
        <v>0.3111642420977011</v>
      </c>
      <c r="AI23" s="104">
        <f t="shared" si="8"/>
        <v>1.243849476853423</v>
      </c>
      <c r="AJ23" s="118">
        <f t="shared" si="9"/>
        <v>0.6513671310194025</v>
      </c>
      <c r="AK23" s="106">
        <f t="shared" si="10"/>
        <v>73.36806686941394</v>
      </c>
      <c r="AL23" s="117">
        <f t="shared" si="11"/>
        <v>8.107286386040254</v>
      </c>
    </row>
    <row r="24" spans="1:38" ht="12.75">
      <c r="A24" s="92">
        <v>201</v>
      </c>
      <c r="B24" s="93"/>
      <c r="C24" s="94" t="s">
        <v>65</v>
      </c>
      <c r="D24" s="95">
        <v>3</v>
      </c>
      <c r="E24" s="96"/>
      <c r="F24" s="97"/>
      <c r="G24" s="68" t="s">
        <v>46</v>
      </c>
      <c r="H24" s="69">
        <v>1176</v>
      </c>
      <c r="I24" s="70">
        <f>'[1]MihrlineDX'!G68</f>
        <v>3</v>
      </c>
      <c r="J24" s="69">
        <v>973</v>
      </c>
      <c r="K24" s="68"/>
      <c r="L24" s="68"/>
      <c r="M24" s="68"/>
      <c r="N24" s="62">
        <v>4</v>
      </c>
      <c r="O24" s="71">
        <v>3</v>
      </c>
      <c r="P24" s="72">
        <v>15194</v>
      </c>
      <c r="Q24" s="73">
        <v>14446.5</v>
      </c>
      <c r="R24" s="72">
        <v>167089.6</v>
      </c>
      <c r="S24" s="74">
        <v>151683.2</v>
      </c>
      <c r="T24" s="73">
        <f>S24*35</f>
        <v>5308912</v>
      </c>
      <c r="U24" s="76">
        <f>'[1]Annual'!R68</f>
        <v>0.56</v>
      </c>
      <c r="V24" s="72">
        <v>418081.8333333333</v>
      </c>
      <c r="W24" s="77">
        <f t="shared" si="13"/>
        <v>0.006948846564560382</v>
      </c>
      <c r="X24" s="98">
        <f t="shared" si="0"/>
        <v>4.597494326270256</v>
      </c>
      <c r="Y24" s="79">
        <f t="shared" si="1"/>
        <v>234125.8266666667</v>
      </c>
      <c r="Z24" s="72">
        <v>1922128.856666667</v>
      </c>
      <c r="AA24" s="99">
        <v>1426803.7140787886</v>
      </c>
      <c r="AB24" s="81">
        <f t="shared" si="2"/>
        <v>1192677.887412122</v>
      </c>
      <c r="AC24" s="82">
        <f t="shared" si="3"/>
        <v>98.764663695621</v>
      </c>
      <c r="AD24" s="83">
        <f t="shared" si="4"/>
        <v>9.406471607131103</v>
      </c>
      <c r="AE24" s="116">
        <f t="shared" si="5"/>
        <v>3.412737890816723</v>
      </c>
      <c r="AF24" s="101">
        <f t="shared" si="14"/>
        <v>0.7423038830773993</v>
      </c>
      <c r="AG24" s="112">
        <f t="shared" si="6"/>
        <v>28.940008537246623</v>
      </c>
      <c r="AH24" s="103">
        <f t="shared" si="7"/>
        <v>0.3620570197182901</v>
      </c>
      <c r="AI24" s="114">
        <f t="shared" si="8"/>
        <v>2.852737890816723</v>
      </c>
      <c r="AJ24" s="118">
        <f t="shared" si="9"/>
        <v>0.6204984037753066</v>
      </c>
      <c r="AK24" s="106">
        <f t="shared" si="10"/>
        <v>82.55825891476289</v>
      </c>
      <c r="AL24" s="117">
        <f t="shared" si="11"/>
        <v>7.8629530983795295</v>
      </c>
    </row>
    <row r="25" spans="1:38" ht="12.75">
      <c r="A25" s="92">
        <v>176</v>
      </c>
      <c r="B25" s="93"/>
      <c r="C25" s="94" t="s">
        <v>66</v>
      </c>
      <c r="D25" s="95">
        <v>3</v>
      </c>
      <c r="E25" s="123">
        <v>9</v>
      </c>
      <c r="F25" s="97"/>
      <c r="G25" s="68" t="s">
        <v>46</v>
      </c>
      <c r="H25" s="69">
        <v>765</v>
      </c>
      <c r="I25" s="70">
        <f>'[1]MihrlineDX'!G64</f>
        <v>3</v>
      </c>
      <c r="J25" s="69">
        <v>765</v>
      </c>
      <c r="K25" s="68"/>
      <c r="L25" s="68"/>
      <c r="M25" s="68"/>
      <c r="N25" s="62">
        <v>3</v>
      </c>
      <c r="O25" s="71">
        <v>3</v>
      </c>
      <c r="P25" s="72">
        <v>11220</v>
      </c>
      <c r="Q25" s="73">
        <v>10939.5</v>
      </c>
      <c r="R25" s="72">
        <v>137343</v>
      </c>
      <c r="S25" s="74">
        <v>132141</v>
      </c>
      <c r="T25" s="73">
        <f>S25*35</f>
        <v>4624935</v>
      </c>
      <c r="U25" s="76">
        <f>'[1]Annual'!R64</f>
        <v>0.56</v>
      </c>
      <c r="V25" s="72">
        <v>406186.6666666666</v>
      </c>
      <c r="W25" s="77">
        <f t="shared" si="13"/>
        <v>0.006751139605213412</v>
      </c>
      <c r="X25" s="98">
        <f t="shared" si="0"/>
        <v>3.6232142857142855</v>
      </c>
      <c r="Y25" s="79">
        <f t="shared" si="1"/>
        <v>227464.53333333333</v>
      </c>
      <c r="Z25" s="72">
        <v>1471701.333333333</v>
      </c>
      <c r="AA25" s="99">
        <v>1135378.2324123853</v>
      </c>
      <c r="AB25" s="81">
        <f t="shared" si="2"/>
        <v>907913.699079052</v>
      </c>
      <c r="AC25" s="82">
        <f t="shared" si="3"/>
        <v>103.7870316204932</v>
      </c>
      <c r="AD25" s="83">
        <f t="shared" si="4"/>
        <v>8.59217224337931</v>
      </c>
      <c r="AE25" s="100">
        <f t="shared" si="5"/>
        <v>2.7952129540089583</v>
      </c>
      <c r="AF25" s="120">
        <f t="shared" si="14"/>
        <v>0.7714732647831527</v>
      </c>
      <c r="AG25" s="102">
        <f t="shared" si="6"/>
        <v>37.13027713027713</v>
      </c>
      <c r="AH25" s="103">
        <f t="shared" si="7"/>
        <v>0.31821016583656486</v>
      </c>
      <c r="AI25" s="117">
        <f t="shared" si="8"/>
        <v>2.2352129540089583</v>
      </c>
      <c r="AJ25" s="118">
        <f t="shared" si="9"/>
        <v>0.616914368775267</v>
      </c>
      <c r="AK25" s="106">
        <f t="shared" si="10"/>
        <v>82.994076427538</v>
      </c>
      <c r="AL25" s="87">
        <f t="shared" si="11"/>
        <v>6.87079482582281</v>
      </c>
    </row>
    <row r="26" spans="1:38" ht="12.75">
      <c r="A26" s="92">
        <v>620</v>
      </c>
      <c r="B26" s="93"/>
      <c r="C26" s="94" t="s">
        <v>67</v>
      </c>
      <c r="D26" s="95">
        <v>3</v>
      </c>
      <c r="E26" s="96">
        <v>10</v>
      </c>
      <c r="F26" s="97"/>
      <c r="G26" s="68" t="s">
        <v>46</v>
      </c>
      <c r="H26" s="69">
        <v>255</v>
      </c>
      <c r="I26" s="70">
        <f>'[1]MihrlineDX'!G113</f>
        <v>3</v>
      </c>
      <c r="J26" s="69">
        <v>765</v>
      </c>
      <c r="K26" s="68"/>
      <c r="L26" s="68"/>
      <c r="M26" s="68"/>
      <c r="N26" s="62">
        <v>1</v>
      </c>
      <c r="O26" s="71">
        <v>3</v>
      </c>
      <c r="P26" s="72">
        <v>8211</v>
      </c>
      <c r="Q26" s="73">
        <v>7548</v>
      </c>
      <c r="R26" s="72">
        <v>87312</v>
      </c>
      <c r="S26" s="74">
        <v>73746</v>
      </c>
      <c r="T26" s="73">
        <f>S26*38</f>
        <v>2802348</v>
      </c>
      <c r="U26" s="76">
        <f>'[1]Annual'!R113</f>
        <v>0.25</v>
      </c>
      <c r="V26" s="72">
        <v>372555</v>
      </c>
      <c r="W26" s="77">
        <f t="shared" si="13"/>
        <v>0.006192155041081973</v>
      </c>
      <c r="X26" s="98">
        <f t="shared" si="0"/>
        <v>1.8711599629584894</v>
      </c>
      <c r="Y26" s="79">
        <f t="shared" si="1"/>
        <v>93138.75</v>
      </c>
      <c r="Z26" s="72">
        <v>697110</v>
      </c>
      <c r="AA26" s="99">
        <v>716243.140742721</v>
      </c>
      <c r="AB26" s="81">
        <f t="shared" si="2"/>
        <v>623104.390742721</v>
      </c>
      <c r="AC26" s="82">
        <f t="shared" si="3"/>
        <v>94.89177805282473</v>
      </c>
      <c r="AD26" s="83">
        <f t="shared" si="4"/>
        <v>9.712298168615533</v>
      </c>
      <c r="AE26" s="83">
        <f t="shared" si="5"/>
        <v>1.922516516333752</v>
      </c>
      <c r="AF26" s="124">
        <f t="shared" si="14"/>
        <v>1.0274463725132634</v>
      </c>
      <c r="AG26" s="85">
        <f t="shared" si="6"/>
        <v>49.358108108108105</v>
      </c>
      <c r="AH26" s="113">
        <f t="shared" si="7"/>
        <v>0.2487592547392401</v>
      </c>
      <c r="AI26" s="87">
        <f t="shared" si="8"/>
        <v>1.672516516333752</v>
      </c>
      <c r="AJ26" s="122">
        <f t="shared" si="9"/>
        <v>0.8938394094801696</v>
      </c>
      <c r="AK26" s="106">
        <f t="shared" si="10"/>
        <v>82.5522510257977</v>
      </c>
      <c r="AL26" s="117">
        <f t="shared" si="11"/>
        <v>8.44933136363628</v>
      </c>
    </row>
    <row r="27" spans="1:38" ht="12.75">
      <c r="A27" s="92">
        <v>471</v>
      </c>
      <c r="B27" s="93"/>
      <c r="C27" s="94" t="s">
        <v>68</v>
      </c>
      <c r="D27" s="110">
        <v>9</v>
      </c>
      <c r="E27" s="96"/>
      <c r="F27" s="97"/>
      <c r="G27" s="68" t="s">
        <v>46</v>
      </c>
      <c r="H27" s="69">
        <v>973</v>
      </c>
      <c r="I27" s="70">
        <f>'[1]MihrlineDX'!G104</f>
        <v>3</v>
      </c>
      <c r="J27" s="69">
        <v>1743</v>
      </c>
      <c r="K27" s="68"/>
      <c r="L27" s="68"/>
      <c r="M27" s="68"/>
      <c r="N27" s="62">
        <v>3</v>
      </c>
      <c r="O27" s="71">
        <v>5</v>
      </c>
      <c r="P27" s="72">
        <v>18697.6</v>
      </c>
      <c r="Q27" s="73">
        <v>16484.2</v>
      </c>
      <c r="R27" s="72">
        <v>330689.6</v>
      </c>
      <c r="S27" s="74">
        <v>266035.8</v>
      </c>
      <c r="T27" s="73">
        <f t="shared" si="12"/>
        <v>11040485.7</v>
      </c>
      <c r="U27" s="76">
        <f>'[1]Annual'!R104</f>
        <v>0.56</v>
      </c>
      <c r="V27" s="72">
        <v>345745.4348262032</v>
      </c>
      <c r="W27" s="77">
        <f t="shared" si="13"/>
        <v>0.005746559131376986</v>
      </c>
      <c r="X27" s="98">
        <f t="shared" si="0"/>
        <v>5.613278659673046</v>
      </c>
      <c r="Y27" s="79">
        <f t="shared" si="1"/>
        <v>193617.44350267382</v>
      </c>
      <c r="Z27" s="72">
        <v>1940765.4709893046</v>
      </c>
      <c r="AA27" s="99">
        <v>1887209.9069893644</v>
      </c>
      <c r="AB27" s="81">
        <f t="shared" si="2"/>
        <v>1693592.4634866905</v>
      </c>
      <c r="AC27" s="82">
        <f t="shared" si="3"/>
        <v>114.48598700509362</v>
      </c>
      <c r="AD27" s="83">
        <f t="shared" si="4"/>
        <v>7.093819354347665</v>
      </c>
      <c r="AE27" s="111">
        <f t="shared" si="5"/>
        <v>5.458379827742378</v>
      </c>
      <c r="AF27" s="120">
        <f t="shared" si="14"/>
        <v>0.9724049274368839</v>
      </c>
      <c r="AG27" s="112">
        <f t="shared" si="6"/>
        <v>20.974353309605757</v>
      </c>
      <c r="AH27" s="125">
        <f t="shared" si="7"/>
        <v>0.17578624018228697</v>
      </c>
      <c r="AI27" s="114">
        <f t="shared" si="8"/>
        <v>4.898379827742377</v>
      </c>
      <c r="AJ27" s="122">
        <f t="shared" si="9"/>
        <v>0.872641485435838</v>
      </c>
      <c r="AK27" s="115">
        <f t="shared" si="10"/>
        <v>102.7403491517144</v>
      </c>
      <c r="AL27" s="87">
        <f t="shared" si="11"/>
        <v>6.366032178701854</v>
      </c>
    </row>
    <row r="28" spans="1:38" ht="12.75">
      <c r="A28" s="92">
        <v>170</v>
      </c>
      <c r="B28" s="93"/>
      <c r="C28" s="94" t="s">
        <v>69</v>
      </c>
      <c r="D28" s="110">
        <v>9</v>
      </c>
      <c r="E28" s="96"/>
      <c r="F28" s="97"/>
      <c r="G28" s="68" t="s">
        <v>46</v>
      </c>
      <c r="H28" s="69">
        <v>1020</v>
      </c>
      <c r="I28" s="70">
        <f>'[1]MihrlineDX'!G62</f>
        <v>4</v>
      </c>
      <c r="J28" s="69">
        <v>1020</v>
      </c>
      <c r="K28" s="68"/>
      <c r="L28" s="68"/>
      <c r="M28" s="68"/>
      <c r="N28" s="62">
        <v>4</v>
      </c>
      <c r="O28" s="71">
        <v>4</v>
      </c>
      <c r="P28" s="72">
        <v>15172.5</v>
      </c>
      <c r="Q28" s="73">
        <v>14815.5</v>
      </c>
      <c r="R28" s="72">
        <v>231183</v>
      </c>
      <c r="S28" s="74">
        <v>222717</v>
      </c>
      <c r="T28" s="73">
        <f t="shared" si="12"/>
        <v>9242755.5</v>
      </c>
      <c r="U28" s="76">
        <f>'[1]Annual'!R62</f>
        <v>0.56</v>
      </c>
      <c r="V28" s="72">
        <v>329780.9482758621</v>
      </c>
      <c r="W28" s="77">
        <f t="shared" si="13"/>
        <v>0.005481216897690738</v>
      </c>
      <c r="X28" s="98">
        <f t="shared" si="0"/>
        <v>5.4241531016278035</v>
      </c>
      <c r="Y28" s="79">
        <f t="shared" si="1"/>
        <v>184677.33103448278</v>
      </c>
      <c r="Z28" s="72">
        <v>1788782.3534482757</v>
      </c>
      <c r="AA28" s="99">
        <v>1672397.7159809237</v>
      </c>
      <c r="AB28" s="81">
        <f t="shared" si="2"/>
        <v>1487720.384946441</v>
      </c>
      <c r="AC28" s="82">
        <f t="shared" si="3"/>
        <v>112.88162505355362</v>
      </c>
      <c r="AD28" s="83">
        <f t="shared" si="4"/>
        <v>7.509070775831767</v>
      </c>
      <c r="AE28" s="111">
        <f t="shared" si="5"/>
        <v>5.071238119498527</v>
      </c>
      <c r="AF28" s="120">
        <f t="shared" si="14"/>
        <v>0.9349363899733275</v>
      </c>
      <c r="AG28" s="112">
        <f t="shared" si="6"/>
        <v>22.25918452133658</v>
      </c>
      <c r="AH28" s="125">
        <f t="shared" si="7"/>
        <v>0.1935334493537426</v>
      </c>
      <c r="AI28" s="114">
        <f t="shared" si="8"/>
        <v>4.511238119498527</v>
      </c>
      <c r="AJ28" s="122">
        <f t="shared" si="9"/>
        <v>0.8316944663941531</v>
      </c>
      <c r="AK28" s="115">
        <f t="shared" si="10"/>
        <v>100.41648172160515</v>
      </c>
      <c r="AL28" s="87">
        <f t="shared" si="11"/>
        <v>6.679869003921753</v>
      </c>
    </row>
    <row r="29" spans="1:38" ht="12.75">
      <c r="A29" s="92">
        <v>255</v>
      </c>
      <c r="B29" s="93"/>
      <c r="C29" s="94" t="s">
        <v>70</v>
      </c>
      <c r="D29" s="95">
        <v>3</v>
      </c>
      <c r="E29" s="96"/>
      <c r="F29" s="97"/>
      <c r="G29" s="68" t="s">
        <v>46</v>
      </c>
      <c r="H29" s="69">
        <v>718</v>
      </c>
      <c r="I29" s="70">
        <f>'[1]MihrlineDX'!G86</f>
        <v>2</v>
      </c>
      <c r="J29" s="69">
        <v>718</v>
      </c>
      <c r="K29" s="68"/>
      <c r="L29" s="68"/>
      <c r="M29" s="68"/>
      <c r="N29" s="62">
        <v>2</v>
      </c>
      <c r="O29" s="71">
        <v>2</v>
      </c>
      <c r="P29" s="72">
        <v>11281.2</v>
      </c>
      <c r="Q29" s="73">
        <v>10931.2</v>
      </c>
      <c r="R29" s="72">
        <v>107168.6</v>
      </c>
      <c r="S29" s="74">
        <v>98523.1</v>
      </c>
      <c r="T29" s="73">
        <f t="shared" si="12"/>
        <v>4088708.6500000004</v>
      </c>
      <c r="U29" s="76">
        <f>'[1]Annual'!R86</f>
        <v>0.56</v>
      </c>
      <c r="V29" s="72">
        <v>260818</v>
      </c>
      <c r="W29" s="77">
        <f t="shared" si="13"/>
        <v>0.004334998841794951</v>
      </c>
      <c r="X29" s="98">
        <f t="shared" si="0"/>
        <v>1.8823164247220587</v>
      </c>
      <c r="Y29" s="79">
        <f t="shared" si="1"/>
        <v>146058.08000000002</v>
      </c>
      <c r="Z29" s="72">
        <v>490942.0052631579</v>
      </c>
      <c r="AA29" s="99">
        <v>1005727.5233318998</v>
      </c>
      <c r="AB29" s="81">
        <f t="shared" si="2"/>
        <v>859669.4433318998</v>
      </c>
      <c r="AC29" s="82">
        <f t="shared" si="3"/>
        <v>92.00522571464246</v>
      </c>
      <c r="AD29" s="83">
        <f t="shared" si="4"/>
        <v>10.208037742741547</v>
      </c>
      <c r="AE29" s="100">
        <f t="shared" si="5"/>
        <v>3.8560510521969333</v>
      </c>
      <c r="AF29" s="124">
        <f t="shared" si="14"/>
        <v>2.048566862378792</v>
      </c>
      <c r="AG29" s="112">
        <f t="shared" si="6"/>
        <v>23.859960480093676</v>
      </c>
      <c r="AH29" s="125">
        <f t="shared" si="7"/>
        <v>0.12007263106486148</v>
      </c>
      <c r="AI29" s="114">
        <f t="shared" si="8"/>
        <v>3.2960510521969337</v>
      </c>
      <c r="AJ29" s="122">
        <f t="shared" si="9"/>
        <v>1.7510610909553244</v>
      </c>
      <c r="AK29" s="106">
        <f t="shared" si="10"/>
        <v>78.64364784579001</v>
      </c>
      <c r="AL29" s="117">
        <f t="shared" si="11"/>
        <v>8.72556226237197</v>
      </c>
    </row>
    <row r="30" spans="1:38" ht="12.75">
      <c r="A30" s="92">
        <v>489</v>
      </c>
      <c r="B30" s="93"/>
      <c r="C30" s="94" t="s">
        <v>71</v>
      </c>
      <c r="D30" s="110">
        <v>9</v>
      </c>
      <c r="E30" s="96"/>
      <c r="F30" s="97"/>
      <c r="G30" s="68" t="s">
        <v>46</v>
      </c>
      <c r="H30" s="69">
        <v>1530</v>
      </c>
      <c r="I30" s="70"/>
      <c r="J30" s="69">
        <v>1785</v>
      </c>
      <c r="K30" s="68"/>
      <c r="L30" s="68"/>
      <c r="M30" s="68"/>
      <c r="N30" s="62">
        <v>6</v>
      </c>
      <c r="O30" s="71">
        <v>7</v>
      </c>
      <c r="P30" s="72">
        <v>9052.5</v>
      </c>
      <c r="Q30" s="73">
        <v>6502.5</v>
      </c>
      <c r="R30" s="72">
        <v>176460</v>
      </c>
      <c r="S30" s="74">
        <v>111766.5</v>
      </c>
      <c r="T30" s="73">
        <f t="shared" si="12"/>
        <v>4638309.75</v>
      </c>
      <c r="U30" s="76">
        <f>'[1]Annual'!R108</f>
        <v>0.75</v>
      </c>
      <c r="V30" s="72">
        <v>217895.72916666666</v>
      </c>
      <c r="W30" s="77">
        <f t="shared" si="13"/>
        <v>0.0036215971810594602</v>
      </c>
      <c r="X30" s="98">
        <f t="shared" si="0"/>
        <v>8.225467829366016</v>
      </c>
      <c r="Y30" s="79">
        <f t="shared" si="1"/>
        <v>163421.796875</v>
      </c>
      <c r="Z30" s="72">
        <v>1792294.3104166668</v>
      </c>
      <c r="AA30" s="99">
        <v>869761.0884155551</v>
      </c>
      <c r="AB30" s="81">
        <f t="shared" si="2"/>
        <v>706339.2915405551</v>
      </c>
      <c r="AC30" s="126">
        <f t="shared" si="3"/>
        <v>133.75795285129644</v>
      </c>
      <c r="AD30" s="83">
        <f t="shared" si="4"/>
        <v>7.781947975605885</v>
      </c>
      <c r="AE30" s="111">
        <f t="shared" si="5"/>
        <v>3.9916389905480063</v>
      </c>
      <c r="AF30" s="101">
        <f t="shared" si="14"/>
        <v>0.4852780502401728</v>
      </c>
      <c r="AG30" s="119">
        <f t="shared" si="6"/>
        <v>33.50953159041394</v>
      </c>
      <c r="AH30" s="103">
        <f t="shared" si="7"/>
        <v>0.3864110865852947</v>
      </c>
      <c r="AI30" s="114">
        <f t="shared" si="8"/>
        <v>3.2416389905480063</v>
      </c>
      <c r="AJ30" s="105">
        <f t="shared" si="9"/>
        <v>0.39409782614125893</v>
      </c>
      <c r="AK30" s="115">
        <f t="shared" si="10"/>
        <v>108.62580415848598</v>
      </c>
      <c r="AL30" s="87">
        <f t="shared" si="11"/>
        <v>6.319776422636076</v>
      </c>
    </row>
    <row r="31" spans="1:38" ht="12.75">
      <c r="A31" s="92">
        <v>264</v>
      </c>
      <c r="B31" s="93"/>
      <c r="C31" s="94" t="s">
        <v>72</v>
      </c>
      <c r="D31" s="110">
        <v>9</v>
      </c>
      <c r="E31" s="96"/>
      <c r="F31" s="97"/>
      <c r="G31" s="68" t="s">
        <v>46</v>
      </c>
      <c r="H31" s="69">
        <v>255</v>
      </c>
      <c r="I31" s="70">
        <f>'[1]MihrlineDX'!G89</f>
        <v>1</v>
      </c>
      <c r="J31" s="69">
        <v>255</v>
      </c>
      <c r="K31" s="68"/>
      <c r="L31" s="68"/>
      <c r="M31" s="68"/>
      <c r="N31" s="62">
        <v>1</v>
      </c>
      <c r="O31" s="71">
        <v>1</v>
      </c>
      <c r="P31" s="72">
        <v>9843</v>
      </c>
      <c r="Q31" s="73">
        <v>9307.5</v>
      </c>
      <c r="R31" s="72">
        <v>146217</v>
      </c>
      <c r="S31" s="74">
        <v>135966</v>
      </c>
      <c r="T31" s="73">
        <f t="shared" si="12"/>
        <v>5642589</v>
      </c>
      <c r="U31" s="76">
        <f>'[1]Annual'!R89</f>
        <v>0.56</v>
      </c>
      <c r="V31" s="72">
        <v>198135</v>
      </c>
      <c r="W31" s="77">
        <f t="shared" si="13"/>
        <v>0.003293158430472754</v>
      </c>
      <c r="X31" s="98">
        <f t="shared" si="0"/>
        <v>4.3001716001716</v>
      </c>
      <c r="Y31" s="79">
        <f t="shared" si="1"/>
        <v>110955.6</v>
      </c>
      <c r="Z31" s="72">
        <v>852014.5</v>
      </c>
      <c r="AA31" s="99">
        <v>1091193.7215268128</v>
      </c>
      <c r="AB31" s="81">
        <f t="shared" si="2"/>
        <v>980238.1215268128</v>
      </c>
      <c r="AC31" s="82">
        <f t="shared" si="3"/>
        <v>117.23811136468576</v>
      </c>
      <c r="AD31" s="83">
        <f t="shared" si="4"/>
        <v>8.025489618925413</v>
      </c>
      <c r="AE31" s="111">
        <f t="shared" si="5"/>
        <v>5.507324407736204</v>
      </c>
      <c r="AF31" s="124">
        <f t="shared" si="14"/>
        <v>1.2807220082836768</v>
      </c>
      <c r="AG31" s="112">
        <f t="shared" si="6"/>
        <v>21.28767123287671</v>
      </c>
      <c r="AH31" s="125">
        <f t="shared" si="7"/>
        <v>0.15099708662105285</v>
      </c>
      <c r="AI31" s="114">
        <f t="shared" si="8"/>
        <v>4.947324407736204</v>
      </c>
      <c r="AJ31" s="122">
        <f t="shared" si="9"/>
        <v>1.150494647129612</v>
      </c>
      <c r="AK31" s="115">
        <f t="shared" si="10"/>
        <v>105.31701547427481</v>
      </c>
      <c r="AL31" s="87">
        <f t="shared" si="11"/>
        <v>7.209435605422038</v>
      </c>
    </row>
    <row r="32" spans="1:38" ht="13.5" thickBot="1">
      <c r="A32" s="127">
        <v>250</v>
      </c>
      <c r="B32" s="93">
        <v>253</v>
      </c>
      <c r="C32" s="94" t="s">
        <v>73</v>
      </c>
      <c r="D32" s="95">
        <v>3</v>
      </c>
      <c r="E32" s="96"/>
      <c r="F32" s="97"/>
      <c r="G32" s="68" t="s">
        <v>46</v>
      </c>
      <c r="H32" s="69">
        <v>614</v>
      </c>
      <c r="I32" s="70">
        <f>'[1]MihrlineDX'!G84</f>
        <v>2</v>
      </c>
      <c r="J32" s="69">
        <v>614</v>
      </c>
      <c r="K32" s="68"/>
      <c r="L32" s="68"/>
      <c r="M32" s="68"/>
      <c r="N32" s="128">
        <v>2</v>
      </c>
      <c r="O32" s="129">
        <v>2</v>
      </c>
      <c r="P32" s="130">
        <v>8384.3</v>
      </c>
      <c r="Q32" s="131">
        <v>8125.3</v>
      </c>
      <c r="R32" s="130">
        <v>94635.5</v>
      </c>
      <c r="S32" s="132">
        <v>89445.9</v>
      </c>
      <c r="T32" s="131">
        <f>S32*35</f>
        <v>3130606.5</v>
      </c>
      <c r="U32" s="133">
        <f>'[1]Annual'!R84</f>
        <v>0.56</v>
      </c>
      <c r="V32" s="130">
        <v>105040.93178727114</v>
      </c>
      <c r="W32" s="134">
        <f t="shared" si="13"/>
        <v>0.0017458623164002594</v>
      </c>
      <c r="X32" s="135">
        <f t="shared" si="0"/>
        <v>1.9014787370376534</v>
      </c>
      <c r="Y32" s="136">
        <f t="shared" si="1"/>
        <v>58822.921800871845</v>
      </c>
      <c r="Z32" s="130">
        <v>199733.09831211861</v>
      </c>
      <c r="AA32" s="137">
        <v>808884.834660043</v>
      </c>
      <c r="AB32" s="138">
        <f t="shared" si="2"/>
        <v>750061.9128591712</v>
      </c>
      <c r="AC32" s="139">
        <f t="shared" si="3"/>
        <v>99.55138083025156</v>
      </c>
      <c r="AD32" s="140">
        <f t="shared" si="4"/>
        <v>9.043285770058135</v>
      </c>
      <c r="AE32" s="141">
        <f t="shared" si="5"/>
        <v>7.700663169079615</v>
      </c>
      <c r="AF32" s="142">
        <f t="shared" si="14"/>
        <v>4.0498287038837</v>
      </c>
      <c r="AG32" s="143">
        <f t="shared" si="6"/>
        <v>12.927637353361861</v>
      </c>
      <c r="AH32" s="144">
        <f t="shared" si="7"/>
        <v>0.06380012892457695</v>
      </c>
      <c r="AI32" s="145">
        <f t="shared" si="8"/>
        <v>7.140663169079614</v>
      </c>
      <c r="AJ32" s="146">
        <f t="shared" si="9"/>
        <v>3.755321071959068</v>
      </c>
      <c r="AK32" s="147">
        <f t="shared" si="10"/>
        <v>92.31190391236892</v>
      </c>
      <c r="AL32" s="148">
        <f t="shared" si="11"/>
        <v>8.385648899045917</v>
      </c>
    </row>
    <row r="33" spans="1:38" ht="28.5" customHeight="1" thickTop="1">
      <c r="A33" s="1"/>
      <c r="B33" s="590" t="s">
        <v>74</v>
      </c>
      <c r="C33" s="572"/>
      <c r="D33" s="572"/>
      <c r="E33" s="572"/>
      <c r="F33" s="573"/>
      <c r="G33" s="68"/>
      <c r="H33" s="69"/>
      <c r="I33" s="70"/>
      <c r="J33" s="69"/>
      <c r="K33" s="68"/>
      <c r="L33" s="68"/>
      <c r="M33" s="68"/>
      <c r="N33" s="149">
        <f>SUM(N6:N32)</f>
        <v>346</v>
      </c>
      <c r="O33" s="150">
        <f>SUM(O6:O32)</f>
        <v>340</v>
      </c>
      <c r="P33" s="151">
        <f aca="true" t="shared" si="15" ref="P33:AB33">SUM(P6:P32)</f>
        <v>1365844.8000000005</v>
      </c>
      <c r="Q33" s="149">
        <f t="shared" si="15"/>
        <v>1270549.0999999999</v>
      </c>
      <c r="R33" s="152">
        <f t="shared" si="15"/>
        <v>18334496.200000003</v>
      </c>
      <c r="S33" s="150">
        <f t="shared" si="15"/>
        <v>15965336.999999998</v>
      </c>
      <c r="T33" s="150">
        <f t="shared" si="15"/>
        <v>659779504.85</v>
      </c>
      <c r="U33" s="153">
        <f t="shared" si="15"/>
        <v>15.980000000000006</v>
      </c>
      <c r="V33" s="152">
        <f t="shared" si="15"/>
        <v>60165644.67915881</v>
      </c>
      <c r="W33" s="154"/>
      <c r="X33" s="155">
        <f t="shared" si="0"/>
        <v>4.421045126437874</v>
      </c>
      <c r="Y33" s="156">
        <f>SUM(Y6:Y32)</f>
        <v>34747616.12509311</v>
      </c>
      <c r="Z33" s="152">
        <f t="shared" si="15"/>
        <v>265995030.18778783</v>
      </c>
      <c r="AA33" s="156">
        <f t="shared" si="15"/>
        <v>134724344.69773334</v>
      </c>
      <c r="AB33" s="157">
        <f t="shared" si="15"/>
        <v>99976728.57264018</v>
      </c>
      <c r="AC33" s="158">
        <f t="shared" si="3"/>
        <v>106.03631508434688</v>
      </c>
      <c r="AD33" s="159">
        <f t="shared" si="4"/>
        <v>8.438553141579996</v>
      </c>
      <c r="AE33" s="159">
        <f t="shared" si="5"/>
        <v>2.2392238197756975</v>
      </c>
      <c r="AF33" s="160">
        <f t="shared" si="14"/>
        <v>0.5064919619085376</v>
      </c>
      <c r="AG33" s="161">
        <f t="shared" si="6"/>
        <v>47.35404926827213</v>
      </c>
      <c r="AH33" s="103">
        <f t="shared" si="7"/>
        <v>0.40315746129195307</v>
      </c>
      <c r="AI33" s="162">
        <f t="shared" si="8"/>
        <v>1.661691304161689</v>
      </c>
      <c r="AJ33" s="163">
        <f t="shared" si="9"/>
        <v>0.3758593854255787</v>
      </c>
      <c r="AK33" s="159">
        <f t="shared" si="10"/>
        <v>78.68781188593199</v>
      </c>
      <c r="AL33" s="162">
        <f t="shared" si="11"/>
        <v>6.262112010077845</v>
      </c>
    </row>
    <row r="34" spans="1:38" ht="12.75" hidden="1">
      <c r="A34" s="70">
        <v>26</v>
      </c>
      <c r="B34" s="164"/>
      <c r="C34" s="165"/>
      <c r="D34" s="66">
        <v>2</v>
      </c>
      <c r="E34" s="66"/>
      <c r="F34" s="66"/>
      <c r="G34" s="68" t="s">
        <v>75</v>
      </c>
      <c r="H34" s="69">
        <v>12993</v>
      </c>
      <c r="I34" s="70">
        <f>'[1]MihrlineDX'!G16</f>
        <v>19</v>
      </c>
      <c r="J34" s="69">
        <v>12493</v>
      </c>
      <c r="K34" s="68"/>
      <c r="L34" s="68"/>
      <c r="M34" s="68"/>
      <c r="N34" s="70">
        <v>43</v>
      </c>
      <c r="O34" s="10">
        <v>39</v>
      </c>
      <c r="P34" s="72">
        <v>153124.3</v>
      </c>
      <c r="Q34" s="72">
        <v>137613.3</v>
      </c>
      <c r="R34" s="72">
        <v>1990152.7</v>
      </c>
      <c r="S34" s="72">
        <v>1572084.1</v>
      </c>
      <c r="T34" s="73">
        <f t="shared" si="12"/>
        <v>65241490.150000006</v>
      </c>
      <c r="U34" s="76">
        <f>'[1]Annual'!R16</f>
        <v>0.56</v>
      </c>
      <c r="V34" s="72">
        <v>8516457.281312915</v>
      </c>
      <c r="W34" s="166"/>
      <c r="X34" s="167">
        <v>2.8612189492882725</v>
      </c>
      <c r="Y34" s="168">
        <f aca="true" t="shared" si="16" ref="Y34:Y97">U34*V34</f>
        <v>4769216.0775352325</v>
      </c>
      <c r="Z34" s="72">
        <v>24367448.954096597</v>
      </c>
      <c r="AA34" s="81">
        <v>13520873.299174068</v>
      </c>
      <c r="AB34" s="81">
        <f aca="true" t="shared" si="17" ref="AB34:AB97">AA34-Y34</f>
        <v>8751657.221638836</v>
      </c>
      <c r="AC34" s="82">
        <f t="shared" si="3"/>
        <v>98.25266379902284</v>
      </c>
      <c r="AD34" s="83"/>
      <c r="AE34" s="83">
        <f t="shared" si="5"/>
        <v>1.5876171103261452</v>
      </c>
      <c r="AF34" s="84">
        <f t="shared" si="14"/>
        <v>0.5548743869185769</v>
      </c>
      <c r="AG34" s="85">
        <f t="shared" si="6"/>
        <v>61.88687635070822</v>
      </c>
      <c r="AH34" s="83"/>
      <c r="AI34" s="87">
        <f t="shared" si="8"/>
        <v>1.0276171103261451</v>
      </c>
      <c r="AJ34" s="109">
        <f t="shared" si="9"/>
        <v>0.3591536084932489</v>
      </c>
      <c r="AK34" s="83">
        <f t="shared" si="10"/>
        <v>63.59601304262623</v>
      </c>
      <c r="AL34" s="87">
        <f t="shared" si="11"/>
        <v>5.566914150228245</v>
      </c>
    </row>
    <row r="35" spans="1:38" ht="12.75" hidden="1">
      <c r="A35" s="70">
        <v>45</v>
      </c>
      <c r="B35" s="164"/>
      <c r="C35" s="165"/>
      <c r="D35" s="66">
        <v>1</v>
      </c>
      <c r="E35" s="66"/>
      <c r="F35" s="66"/>
      <c r="G35" s="68" t="s">
        <v>75</v>
      </c>
      <c r="H35" s="69">
        <v>7878</v>
      </c>
      <c r="I35" s="70">
        <f>'[1]MihrlineDX'!G23</f>
        <v>15</v>
      </c>
      <c r="J35" s="69">
        <v>7269</v>
      </c>
      <c r="K35" s="68"/>
      <c r="L35" s="68"/>
      <c r="M35" s="68"/>
      <c r="N35" s="70">
        <v>26</v>
      </c>
      <c r="O35" s="10">
        <v>23</v>
      </c>
      <c r="P35" s="72">
        <v>101219.7</v>
      </c>
      <c r="Q35" s="72">
        <v>92665</v>
      </c>
      <c r="R35" s="72">
        <v>1256003</v>
      </c>
      <c r="S35" s="72">
        <v>1053586.5</v>
      </c>
      <c r="T35" s="73">
        <f t="shared" si="12"/>
        <v>43723839.75</v>
      </c>
      <c r="U35" s="76">
        <f>'[1]Annual'!R23</f>
        <v>0.56</v>
      </c>
      <c r="V35" s="72">
        <v>8453160.530554816</v>
      </c>
      <c r="W35" s="166"/>
      <c r="X35" s="167">
        <v>3.3342227791790955</v>
      </c>
      <c r="Y35" s="168">
        <f t="shared" si="16"/>
        <v>4733769.897110698</v>
      </c>
      <c r="Z35" s="72">
        <v>28184720.397033516</v>
      </c>
      <c r="AA35" s="81">
        <v>9055859.48934516</v>
      </c>
      <c r="AB35" s="81">
        <f t="shared" si="17"/>
        <v>4322089.592234462</v>
      </c>
      <c r="AC35" s="82">
        <f t="shared" si="3"/>
        <v>97.72686008034489</v>
      </c>
      <c r="AD35" s="83"/>
      <c r="AE35" s="83">
        <f t="shared" si="5"/>
        <v>1.0712986529253556</v>
      </c>
      <c r="AF35" s="84">
        <f t="shared" si="14"/>
        <v>0.3213038611622453</v>
      </c>
      <c r="AG35" s="85">
        <f t="shared" si="6"/>
        <v>91.22279750234517</v>
      </c>
      <c r="AH35" s="83"/>
      <c r="AI35" s="87">
        <f t="shared" si="8"/>
        <v>0.5112986529253556</v>
      </c>
      <c r="AJ35" s="109">
        <f t="shared" si="9"/>
        <v>0.15334867727442023</v>
      </c>
      <c r="AK35" s="83">
        <f t="shared" si="10"/>
        <v>46.64209347903158</v>
      </c>
      <c r="AL35" s="87">
        <f t="shared" si="11"/>
        <v>4.102263641603667</v>
      </c>
    </row>
    <row r="36" spans="1:38" ht="12.75" hidden="1">
      <c r="A36" s="70">
        <v>53</v>
      </c>
      <c r="B36" s="164"/>
      <c r="C36" s="165"/>
      <c r="D36" s="66">
        <v>2</v>
      </c>
      <c r="E36" s="66">
        <v>18</v>
      </c>
      <c r="F36" s="66"/>
      <c r="G36" s="68" t="s">
        <v>75</v>
      </c>
      <c r="H36" s="69">
        <v>7311</v>
      </c>
      <c r="I36" s="70">
        <f>'[1]MihrlineDX'!G24</f>
        <v>11</v>
      </c>
      <c r="J36" s="69">
        <v>6858</v>
      </c>
      <c r="K36" s="68"/>
      <c r="L36" s="68"/>
      <c r="M36" s="68"/>
      <c r="N36" s="70">
        <v>25</v>
      </c>
      <c r="O36" s="10">
        <v>22</v>
      </c>
      <c r="P36" s="72">
        <v>81268.4</v>
      </c>
      <c r="Q36" s="72">
        <v>76260.8</v>
      </c>
      <c r="R36" s="72">
        <v>983932.3</v>
      </c>
      <c r="S36" s="72">
        <v>862802.7</v>
      </c>
      <c r="T36" s="73">
        <f t="shared" si="12"/>
        <v>35806312.05</v>
      </c>
      <c r="U36" s="76">
        <f>'[1]Annual'!R24</f>
        <v>0.56</v>
      </c>
      <c r="V36" s="72">
        <v>4587200.833446354</v>
      </c>
      <c r="W36" s="166"/>
      <c r="X36" s="167">
        <v>3.1076361484286243</v>
      </c>
      <c r="Y36" s="168">
        <f t="shared" si="16"/>
        <v>2568832.466729958</v>
      </c>
      <c r="Z36" s="72">
        <v>14255351.130119802</v>
      </c>
      <c r="AA36" s="81">
        <v>7490059.527969449</v>
      </c>
      <c r="AB36" s="81">
        <f t="shared" si="17"/>
        <v>4921227.06123949</v>
      </c>
      <c r="AC36" s="82">
        <f t="shared" si="3"/>
        <v>98.21637758808521</v>
      </c>
      <c r="AD36" s="83"/>
      <c r="AE36" s="83">
        <f t="shared" si="5"/>
        <v>1.6328170053854354</v>
      </c>
      <c r="AF36" s="84">
        <f t="shared" si="14"/>
        <v>0.5254209075316199</v>
      </c>
      <c r="AG36" s="85">
        <f t="shared" si="6"/>
        <v>60.15149111268638</v>
      </c>
      <c r="AH36" s="83"/>
      <c r="AI36" s="87">
        <f t="shared" si="8"/>
        <v>1.0728170053854353</v>
      </c>
      <c r="AJ36" s="109">
        <f t="shared" si="9"/>
        <v>0.34521963130333166</v>
      </c>
      <c r="AK36" s="83">
        <f t="shared" si="10"/>
        <v>64.53154256498082</v>
      </c>
      <c r="AL36" s="87">
        <f t="shared" si="11"/>
        <v>5.703768730950298</v>
      </c>
    </row>
    <row r="37" spans="1:38" ht="12.75" hidden="1">
      <c r="A37" s="70">
        <v>55</v>
      </c>
      <c r="B37" s="164"/>
      <c r="C37" s="165"/>
      <c r="D37" s="66">
        <v>2</v>
      </c>
      <c r="E37" s="66">
        <v>18</v>
      </c>
      <c r="F37" s="66"/>
      <c r="G37" s="68" t="s">
        <v>75</v>
      </c>
      <c r="H37" s="69">
        <v>8331</v>
      </c>
      <c r="I37" s="70">
        <f>'[1]MihrlineDX'!G25</f>
        <v>12</v>
      </c>
      <c r="J37" s="69">
        <v>7061</v>
      </c>
      <c r="K37" s="68"/>
      <c r="L37" s="68"/>
      <c r="M37" s="68"/>
      <c r="N37" s="70">
        <v>29</v>
      </c>
      <c r="O37" s="10">
        <v>23</v>
      </c>
      <c r="P37" s="72">
        <v>84337.2</v>
      </c>
      <c r="Q37" s="72">
        <v>76196.1</v>
      </c>
      <c r="R37" s="72">
        <v>997559.5</v>
      </c>
      <c r="S37" s="72">
        <v>811012.4</v>
      </c>
      <c r="T37" s="73">
        <f t="shared" si="12"/>
        <v>33657014.6</v>
      </c>
      <c r="U37" s="76">
        <f>'[1]Annual'!R25</f>
        <v>0.56</v>
      </c>
      <c r="V37" s="72">
        <v>3984956.5979726044</v>
      </c>
      <c r="W37" s="166"/>
      <c r="X37" s="167">
        <v>2.8929265897929763</v>
      </c>
      <c r="Y37" s="168">
        <f t="shared" si="16"/>
        <v>2231575.6948646586</v>
      </c>
      <c r="Z37" s="72">
        <v>11528186.901445907</v>
      </c>
      <c r="AA37" s="81">
        <v>7405610.865121447</v>
      </c>
      <c r="AB37" s="81">
        <f t="shared" si="17"/>
        <v>5174035.170256788</v>
      </c>
      <c r="AC37" s="82">
        <f t="shared" si="3"/>
        <v>97.19146865943856</v>
      </c>
      <c r="AD37" s="83"/>
      <c r="AE37" s="83">
        <f t="shared" si="5"/>
        <v>1.858391850212156</v>
      </c>
      <c r="AF37" s="84">
        <f t="shared" si="14"/>
        <v>0.6423916378552649</v>
      </c>
      <c r="AG37" s="85">
        <f t="shared" si="6"/>
        <v>52.29869505096198</v>
      </c>
      <c r="AH37" s="83"/>
      <c r="AI37" s="87">
        <f t="shared" si="8"/>
        <v>1.2983918502121559</v>
      </c>
      <c r="AJ37" s="109">
        <f t="shared" si="9"/>
        <v>0.448816037984936</v>
      </c>
      <c r="AK37" s="83">
        <f t="shared" si="10"/>
        <v>67.90419943089984</v>
      </c>
      <c r="AL37" s="87">
        <f t="shared" si="11"/>
        <v>6.379723873835699</v>
      </c>
    </row>
    <row r="38" spans="1:38" ht="12.75" hidden="1">
      <c r="A38" s="70">
        <v>56</v>
      </c>
      <c r="B38" s="164"/>
      <c r="C38" s="165"/>
      <c r="D38" s="66">
        <v>2</v>
      </c>
      <c r="E38" s="66"/>
      <c r="F38" s="66"/>
      <c r="G38" s="68" t="s">
        <v>75</v>
      </c>
      <c r="H38" s="69">
        <v>973</v>
      </c>
      <c r="I38" s="70">
        <f>'[1]MihrlineDX'!G26</f>
        <v>2</v>
      </c>
      <c r="J38" s="69">
        <v>973</v>
      </c>
      <c r="K38" s="68"/>
      <c r="L38" s="68"/>
      <c r="M38" s="68"/>
      <c r="N38" s="70">
        <v>3</v>
      </c>
      <c r="O38" s="10">
        <v>3</v>
      </c>
      <c r="P38" s="72">
        <v>14025.9</v>
      </c>
      <c r="Q38" s="72">
        <v>13474.9</v>
      </c>
      <c r="R38" s="72">
        <v>159732.5</v>
      </c>
      <c r="S38" s="72">
        <v>146601.5</v>
      </c>
      <c r="T38" s="73">
        <f t="shared" si="12"/>
        <v>6083962.25</v>
      </c>
      <c r="U38" s="76">
        <f>'[1]Annual'!R26</f>
        <v>0.56</v>
      </c>
      <c r="V38" s="72">
        <v>169895.88392857142</v>
      </c>
      <c r="W38" s="166"/>
      <c r="X38" s="167">
        <v>3.586722176591452</v>
      </c>
      <c r="Y38" s="168">
        <f t="shared" si="16"/>
        <v>95141.695</v>
      </c>
      <c r="Z38" s="72">
        <v>609369.3345982144</v>
      </c>
      <c r="AA38" s="81">
        <v>1270517.2605110577</v>
      </c>
      <c r="AB38" s="81">
        <f t="shared" si="17"/>
        <v>1175375.5655110576</v>
      </c>
      <c r="AC38" s="82">
        <f aca="true" t="shared" si="18" ref="AC38:AC69">AA38/Q38</f>
        <v>94.2876949373322</v>
      </c>
      <c r="AD38" s="83"/>
      <c r="AE38" s="83">
        <f aca="true" t="shared" si="19" ref="AE38:AE69">AA38/V38</f>
        <v>7.4782109556298355</v>
      </c>
      <c r="AF38" s="84">
        <f t="shared" si="14"/>
        <v>2.084970785982805</v>
      </c>
      <c r="AG38" s="85">
        <f t="shared" si="6"/>
        <v>12.60832243122928</v>
      </c>
      <c r="AH38" s="83"/>
      <c r="AI38" s="87">
        <f aca="true" t="shared" si="20" ref="AI38:AI69">AB38/V38</f>
        <v>6.918210955629835</v>
      </c>
      <c r="AJ38" s="109">
        <f aca="true" t="shared" si="21" ref="AJ38:AJ69">AB38/Z38</f>
        <v>1.9288393733925544</v>
      </c>
      <c r="AK38" s="83">
        <f aca="true" t="shared" si="22" ref="AK38:AK69">AB38/Q38</f>
        <v>87.2270343758438</v>
      </c>
      <c r="AL38" s="87">
        <f aca="true" t="shared" si="23" ref="AL38:AL69">AB38/S38</f>
        <v>8.017486625382807</v>
      </c>
    </row>
    <row r="39" spans="1:38" ht="12.75" hidden="1">
      <c r="A39" s="70">
        <v>60</v>
      </c>
      <c r="B39" s="164"/>
      <c r="C39" s="165"/>
      <c r="D39" s="66">
        <v>2</v>
      </c>
      <c r="E39" s="66">
        <v>18</v>
      </c>
      <c r="F39" s="66"/>
      <c r="G39" s="68" t="s">
        <v>75</v>
      </c>
      <c r="H39" s="69">
        <v>13498</v>
      </c>
      <c r="I39" s="70">
        <f>'[1]MihrlineDX'!G27</f>
        <v>23</v>
      </c>
      <c r="J39" s="69">
        <v>14533</v>
      </c>
      <c r="K39" s="68"/>
      <c r="L39" s="68"/>
      <c r="M39" s="68"/>
      <c r="N39" s="70">
        <v>46</v>
      </c>
      <c r="O39" s="10">
        <v>47</v>
      </c>
      <c r="P39" s="72">
        <v>176595.1</v>
      </c>
      <c r="Q39" s="72">
        <v>161976.5</v>
      </c>
      <c r="R39" s="72">
        <v>2245887.1</v>
      </c>
      <c r="S39" s="72">
        <v>1795040.1</v>
      </c>
      <c r="T39" s="73">
        <f t="shared" si="12"/>
        <v>74494164.15</v>
      </c>
      <c r="U39" s="76">
        <f>'[1]Annual'!R27</f>
        <v>0.56</v>
      </c>
      <c r="V39" s="72">
        <v>8959579.785756784</v>
      </c>
      <c r="W39" s="166"/>
      <c r="X39" s="167">
        <v>3.7570962993535617</v>
      </c>
      <c r="Y39" s="168">
        <f t="shared" si="16"/>
        <v>5017364.6800238</v>
      </c>
      <c r="Z39" s="72">
        <v>33662004.05682979</v>
      </c>
      <c r="AA39" s="81">
        <v>15663017.261735156</v>
      </c>
      <c r="AB39" s="81">
        <f t="shared" si="17"/>
        <v>10645652.581711356</v>
      </c>
      <c r="AC39" s="82">
        <f t="shared" si="18"/>
        <v>96.69931910947055</v>
      </c>
      <c r="AD39" s="83"/>
      <c r="AE39" s="83">
        <f t="shared" si="19"/>
        <v>1.7481865931519418</v>
      </c>
      <c r="AF39" s="84">
        <f t="shared" si="14"/>
        <v>0.46530257780529377</v>
      </c>
      <c r="AG39" s="85">
        <f t="shared" si="6"/>
        <v>55.31407201511814</v>
      </c>
      <c r="AH39" s="83"/>
      <c r="AI39" s="87">
        <f t="shared" si="20"/>
        <v>1.1881865931519415</v>
      </c>
      <c r="AJ39" s="109">
        <f t="shared" si="21"/>
        <v>0.3162513011328399</v>
      </c>
      <c r="AK39" s="83">
        <f t="shared" si="22"/>
        <v>65.72343878100438</v>
      </c>
      <c r="AL39" s="87">
        <f t="shared" si="23"/>
        <v>5.930593183802053</v>
      </c>
    </row>
    <row r="40" spans="1:38" ht="12.75" hidden="1">
      <c r="A40" s="70">
        <v>65</v>
      </c>
      <c r="B40" s="164"/>
      <c r="C40" s="165"/>
      <c r="D40" s="66">
        <v>2</v>
      </c>
      <c r="E40" s="66"/>
      <c r="F40" s="66"/>
      <c r="G40" s="68" t="s">
        <v>75</v>
      </c>
      <c r="H40" s="69">
        <v>1993</v>
      </c>
      <c r="I40" s="70">
        <f>'[1]MihrlineDX'!G28</f>
        <v>3</v>
      </c>
      <c r="J40" s="69">
        <v>1483</v>
      </c>
      <c r="K40" s="68"/>
      <c r="L40" s="68"/>
      <c r="M40" s="68"/>
      <c r="N40" s="70">
        <v>7</v>
      </c>
      <c r="O40" s="10">
        <v>5</v>
      </c>
      <c r="P40" s="72">
        <v>20315.5</v>
      </c>
      <c r="Q40" s="72">
        <v>19131</v>
      </c>
      <c r="R40" s="72">
        <v>221800.1</v>
      </c>
      <c r="S40" s="72">
        <v>198010.6</v>
      </c>
      <c r="T40" s="73">
        <f t="shared" si="12"/>
        <v>8217439.9</v>
      </c>
      <c r="U40" s="76">
        <f>'[1]Annual'!R28</f>
        <v>0.56</v>
      </c>
      <c r="V40" s="72">
        <v>674045.3928571428</v>
      </c>
      <c r="W40" s="166"/>
      <c r="X40" s="167">
        <v>2.9940231823089913</v>
      </c>
      <c r="Y40" s="168">
        <f t="shared" si="16"/>
        <v>377465.42000000004</v>
      </c>
      <c r="Z40" s="72">
        <v>2018107.532142857</v>
      </c>
      <c r="AA40" s="81">
        <v>1833441.5730637345</v>
      </c>
      <c r="AB40" s="81">
        <f t="shared" si="17"/>
        <v>1455976.1530637345</v>
      </c>
      <c r="AC40" s="82">
        <f t="shared" si="18"/>
        <v>95.8361597963376</v>
      </c>
      <c r="AD40" s="83"/>
      <c r="AE40" s="83">
        <f t="shared" si="19"/>
        <v>2.7200565310477747</v>
      </c>
      <c r="AF40" s="84">
        <f t="shared" si="14"/>
        <v>0.9084954809702129</v>
      </c>
      <c r="AG40" s="85">
        <f t="shared" si="6"/>
        <v>35.2331500108276</v>
      </c>
      <c r="AH40" s="83"/>
      <c r="AI40" s="87">
        <f t="shared" si="20"/>
        <v>2.1600565310477746</v>
      </c>
      <c r="AJ40" s="109">
        <f t="shared" si="21"/>
        <v>0.7214561810379634</v>
      </c>
      <c r="AK40" s="83">
        <f t="shared" si="22"/>
        <v>76.10559579027414</v>
      </c>
      <c r="AL40" s="87">
        <f t="shared" si="23"/>
        <v>7.353021267870177</v>
      </c>
    </row>
    <row r="41" spans="1:38" ht="12.75" hidden="1">
      <c r="A41" s="70">
        <v>66</v>
      </c>
      <c r="B41" s="164"/>
      <c r="C41" s="165"/>
      <c r="D41" s="66">
        <v>1</v>
      </c>
      <c r="E41" s="66">
        <v>2</v>
      </c>
      <c r="F41" s="66"/>
      <c r="G41" s="68" t="s">
        <v>75</v>
      </c>
      <c r="H41" s="69">
        <v>14768</v>
      </c>
      <c r="I41" s="70">
        <f>'[1]MihrlineDX'!G29</f>
        <v>17</v>
      </c>
      <c r="J41" s="69">
        <v>12530</v>
      </c>
      <c r="K41" s="68"/>
      <c r="L41" s="68"/>
      <c r="M41" s="68"/>
      <c r="N41" s="70">
        <v>52</v>
      </c>
      <c r="O41" s="10">
        <v>42</v>
      </c>
      <c r="P41" s="72">
        <v>141977.6</v>
      </c>
      <c r="Q41" s="72">
        <v>129875.2</v>
      </c>
      <c r="R41" s="72">
        <v>1543427.9</v>
      </c>
      <c r="S41" s="72">
        <v>1287865.4</v>
      </c>
      <c r="T41" s="73">
        <f t="shared" si="12"/>
        <v>53446414.099999994</v>
      </c>
      <c r="U41" s="76">
        <f>'[1]Annual'!R29</f>
        <v>0.56</v>
      </c>
      <c r="V41" s="72">
        <v>8205651.36827571</v>
      </c>
      <c r="W41" s="166"/>
      <c r="X41" s="167">
        <v>2.560523589790806</v>
      </c>
      <c r="Y41" s="168">
        <f t="shared" si="16"/>
        <v>4595164.766234398</v>
      </c>
      <c r="Z41" s="72">
        <v>21010763.89806916</v>
      </c>
      <c r="AA41" s="81">
        <v>12403557.69711714</v>
      </c>
      <c r="AB41" s="81">
        <f t="shared" si="17"/>
        <v>7808392.930882743</v>
      </c>
      <c r="AC41" s="82">
        <f t="shared" si="18"/>
        <v>95.50366580468896</v>
      </c>
      <c r="AD41" s="83"/>
      <c r="AE41" s="83">
        <f t="shared" si="19"/>
        <v>1.5115872147665415</v>
      </c>
      <c r="AF41" s="84">
        <f t="shared" si="14"/>
        <v>0.5903430145277583</v>
      </c>
      <c r="AG41" s="85">
        <f t="shared" si="6"/>
        <v>63.18104894757206</v>
      </c>
      <c r="AH41" s="83"/>
      <c r="AI41" s="87">
        <f t="shared" si="20"/>
        <v>0.9515872147665414</v>
      </c>
      <c r="AJ41" s="109">
        <f t="shared" si="21"/>
        <v>0.37163774571758035</v>
      </c>
      <c r="AK41" s="83">
        <f t="shared" si="22"/>
        <v>60.122278394048614</v>
      </c>
      <c r="AL41" s="87">
        <f t="shared" si="23"/>
        <v>6.06305047940782</v>
      </c>
    </row>
    <row r="42" spans="1:38" ht="12.75" hidden="1">
      <c r="A42" s="70">
        <v>102</v>
      </c>
      <c r="B42" s="164"/>
      <c r="C42" s="165"/>
      <c r="D42" s="66">
        <v>2</v>
      </c>
      <c r="E42" s="66"/>
      <c r="F42" s="66"/>
      <c r="G42" s="68" t="s">
        <v>75</v>
      </c>
      <c r="H42" s="69">
        <v>973</v>
      </c>
      <c r="I42" s="70">
        <f>'[1]MihrlineDX'!G38</f>
        <v>2</v>
      </c>
      <c r="J42" s="69">
        <v>973</v>
      </c>
      <c r="K42" s="68"/>
      <c r="L42" s="68"/>
      <c r="M42" s="68"/>
      <c r="N42" s="70">
        <v>3</v>
      </c>
      <c r="O42" s="10">
        <v>3</v>
      </c>
      <c r="P42" s="72">
        <v>12803.8</v>
      </c>
      <c r="Q42" s="72">
        <v>12084.1</v>
      </c>
      <c r="R42" s="72">
        <v>148288.6</v>
      </c>
      <c r="S42" s="72">
        <v>131853.6</v>
      </c>
      <c r="T42" s="73">
        <f t="shared" si="12"/>
        <v>5471924.4</v>
      </c>
      <c r="U42" s="76">
        <f>'[1]Annual'!R38</f>
        <v>0.56</v>
      </c>
      <c r="V42" s="72">
        <v>205911.23509485094</v>
      </c>
      <c r="W42" s="166"/>
      <c r="X42" s="167">
        <v>3.834410323550137</v>
      </c>
      <c r="Y42" s="168">
        <f t="shared" si="16"/>
        <v>115310.29165311654</v>
      </c>
      <c r="Z42" s="72">
        <v>789548.1655826557</v>
      </c>
      <c r="AA42" s="81">
        <v>1147391.501236342</v>
      </c>
      <c r="AB42" s="81">
        <f t="shared" si="17"/>
        <v>1032081.2095832253</v>
      </c>
      <c r="AC42" s="82">
        <f t="shared" si="18"/>
        <v>94.95051358697312</v>
      </c>
      <c r="AD42" s="83"/>
      <c r="AE42" s="83">
        <f t="shared" si="19"/>
        <v>5.572262731112304</v>
      </c>
      <c r="AF42" s="84">
        <f t="shared" si="14"/>
        <v>1.453225466478808</v>
      </c>
      <c r="AG42" s="85">
        <f t="shared" si="6"/>
        <v>17.039848651935266</v>
      </c>
      <c r="AH42" s="83"/>
      <c r="AI42" s="87">
        <f t="shared" si="20"/>
        <v>5.012262731112304</v>
      </c>
      <c r="AJ42" s="109">
        <f t="shared" si="21"/>
        <v>1.307179542139256</v>
      </c>
      <c r="AK42" s="83">
        <f t="shared" si="22"/>
        <v>85.40819834188936</v>
      </c>
      <c r="AL42" s="87">
        <f t="shared" si="23"/>
        <v>7.8274784274621645</v>
      </c>
    </row>
    <row r="43" spans="1:38" ht="12.75" hidden="1">
      <c r="A43" s="70">
        <v>105</v>
      </c>
      <c r="B43" s="164"/>
      <c r="C43" s="165"/>
      <c r="D43" s="66">
        <v>2</v>
      </c>
      <c r="E43" s="66">
        <v>7</v>
      </c>
      <c r="F43" s="66"/>
      <c r="G43" s="68" t="s">
        <v>75</v>
      </c>
      <c r="H43" s="69">
        <v>7363</v>
      </c>
      <c r="I43" s="70">
        <f>'[1]MihrlineDX'!G39</f>
        <v>15</v>
      </c>
      <c r="J43" s="69">
        <v>7826</v>
      </c>
      <c r="K43" s="68"/>
      <c r="L43" s="68"/>
      <c r="M43" s="68"/>
      <c r="N43" s="70">
        <v>25</v>
      </c>
      <c r="O43" s="10">
        <v>26</v>
      </c>
      <c r="P43" s="72">
        <v>96847.2</v>
      </c>
      <c r="Q43" s="72">
        <v>91657.6</v>
      </c>
      <c r="R43" s="72">
        <v>1235515.9</v>
      </c>
      <c r="S43" s="72">
        <v>1118186.1</v>
      </c>
      <c r="T43" s="73">
        <f t="shared" si="12"/>
        <v>46404723.150000006</v>
      </c>
      <c r="U43" s="76">
        <f>'[1]Annual'!R39</f>
        <v>0.56</v>
      </c>
      <c r="V43" s="72">
        <v>5412190.722705767</v>
      </c>
      <c r="W43" s="166"/>
      <c r="X43" s="167">
        <v>3.29661586897218</v>
      </c>
      <c r="Y43" s="168">
        <f t="shared" si="16"/>
        <v>3030826.8047152297</v>
      </c>
      <c r="Z43" s="72">
        <v>17841913.82237584</v>
      </c>
      <c r="AA43" s="81">
        <v>9143587.186666483</v>
      </c>
      <c r="AB43" s="81">
        <f t="shared" si="17"/>
        <v>6112760.381951254</v>
      </c>
      <c r="AC43" s="82">
        <f t="shared" si="18"/>
        <v>99.75809083661892</v>
      </c>
      <c r="AD43" s="83"/>
      <c r="AE43" s="83">
        <f t="shared" si="19"/>
        <v>1.689442899398646</v>
      </c>
      <c r="AF43" s="84">
        <f t="shared" si="14"/>
        <v>0.5124779369351823</v>
      </c>
      <c r="AG43" s="85">
        <f t="shared" si="6"/>
        <v>59.04792098752058</v>
      </c>
      <c r="AH43" s="83"/>
      <c r="AI43" s="87">
        <f t="shared" si="20"/>
        <v>1.1294428993986458</v>
      </c>
      <c r="AJ43" s="109">
        <f t="shared" si="21"/>
        <v>0.34260676532834383</v>
      </c>
      <c r="AK43" s="83">
        <f t="shared" si="22"/>
        <v>66.6912550836074</v>
      </c>
      <c r="AL43" s="87">
        <f t="shared" si="23"/>
        <v>5.466675343175213</v>
      </c>
    </row>
    <row r="44" spans="1:38" ht="12.75" hidden="1">
      <c r="A44" s="1">
        <v>200</v>
      </c>
      <c r="B44" s="169"/>
      <c r="C44" s="170"/>
      <c r="D44" s="96">
        <v>2</v>
      </c>
      <c r="E44" s="96"/>
      <c r="F44" s="96"/>
      <c r="G44" s="68" t="s">
        <v>75</v>
      </c>
      <c r="H44" s="69">
        <v>4147</v>
      </c>
      <c r="I44" s="70">
        <f>'[1]MihrlineDX'!G67</f>
        <v>9</v>
      </c>
      <c r="J44" s="69">
        <v>5016</v>
      </c>
      <c r="K44" s="68"/>
      <c r="L44" s="68"/>
      <c r="M44" s="68"/>
      <c r="N44" s="70">
        <v>13</v>
      </c>
      <c r="O44" s="10">
        <v>16</v>
      </c>
      <c r="P44" s="72">
        <v>61605.3</v>
      </c>
      <c r="Q44" s="72">
        <v>58926</v>
      </c>
      <c r="R44" s="72">
        <v>535138</v>
      </c>
      <c r="S44" s="72">
        <v>490965.1</v>
      </c>
      <c r="T44" s="73">
        <f t="shared" si="12"/>
        <v>20375051.65</v>
      </c>
      <c r="U44" s="76">
        <f>'[1]Annual'!R67</f>
        <v>0.56</v>
      </c>
      <c r="V44" s="72">
        <v>4357638.650408581</v>
      </c>
      <c r="W44" s="166"/>
      <c r="X44" s="167">
        <v>1.58406543015356</v>
      </c>
      <c r="Y44" s="168">
        <f t="shared" si="16"/>
        <v>2440277.6442288053</v>
      </c>
      <c r="Z44" s="72">
        <v>6902784.7432132475</v>
      </c>
      <c r="AA44" s="81">
        <v>5135413.610517936</v>
      </c>
      <c r="AB44" s="81">
        <f t="shared" si="17"/>
        <v>2695135.9662891305</v>
      </c>
      <c r="AC44" s="82">
        <f t="shared" si="18"/>
        <v>87.1502157030502</v>
      </c>
      <c r="AD44" s="83"/>
      <c r="AE44" s="83">
        <f t="shared" si="19"/>
        <v>1.1784854189404688</v>
      </c>
      <c r="AF44" s="84">
        <f t="shared" si="14"/>
        <v>0.743962589238644</v>
      </c>
      <c r="AG44" s="85">
        <f t="shared" si="6"/>
        <v>73.9510343550993</v>
      </c>
      <c r="AH44" s="83"/>
      <c r="AI44" s="87">
        <f t="shared" si="20"/>
        <v>0.6184854189404688</v>
      </c>
      <c r="AJ44" s="109">
        <f t="shared" si="21"/>
        <v>0.3904418385549343</v>
      </c>
      <c r="AK44" s="83">
        <f t="shared" si="22"/>
        <v>45.737636464194594</v>
      </c>
      <c r="AL44" s="87">
        <f t="shared" si="23"/>
        <v>5.489465475833477</v>
      </c>
    </row>
    <row r="45" spans="1:38" ht="12.75" hidden="1">
      <c r="A45" s="1">
        <v>362</v>
      </c>
      <c r="B45" s="169"/>
      <c r="C45" s="170"/>
      <c r="D45" s="96">
        <v>1</v>
      </c>
      <c r="E45" s="96"/>
      <c r="F45" s="96"/>
      <c r="G45" s="68" t="s">
        <v>75</v>
      </c>
      <c r="H45" s="69">
        <v>2711</v>
      </c>
      <c r="I45" s="70">
        <f>'[1]MihrlineDX'!G94</f>
        <v>4</v>
      </c>
      <c r="J45" s="69">
        <v>2456</v>
      </c>
      <c r="K45" s="68"/>
      <c r="L45" s="68"/>
      <c r="M45" s="68"/>
      <c r="N45" s="70">
        <v>9</v>
      </c>
      <c r="O45" s="10">
        <v>8</v>
      </c>
      <c r="P45" s="72">
        <v>36168.5</v>
      </c>
      <c r="Q45" s="72">
        <v>33500</v>
      </c>
      <c r="R45" s="72">
        <v>513301.8</v>
      </c>
      <c r="S45" s="72">
        <v>428950.5</v>
      </c>
      <c r="T45" s="73">
        <f t="shared" si="12"/>
        <v>17801445.75</v>
      </c>
      <c r="U45" s="76">
        <f>'[1]Annual'!R94</f>
        <v>0.56</v>
      </c>
      <c r="V45" s="72">
        <v>999501.7197802198</v>
      </c>
      <c r="W45" s="166"/>
      <c r="X45" s="167">
        <v>8.172048390067857</v>
      </c>
      <c r="Y45" s="168">
        <f t="shared" si="16"/>
        <v>559720.9630769232</v>
      </c>
      <c r="Z45" s="72">
        <v>8167976.420000001</v>
      </c>
      <c r="AA45" s="81">
        <v>3411123.91319598</v>
      </c>
      <c r="AB45" s="81">
        <f t="shared" si="17"/>
        <v>2851402.9501190567</v>
      </c>
      <c r="AC45" s="82">
        <f t="shared" si="18"/>
        <v>101.82459442376059</v>
      </c>
      <c r="AD45" s="83"/>
      <c r="AE45" s="83">
        <f t="shared" si="19"/>
        <v>3.4128244561160446</v>
      </c>
      <c r="AF45" s="84">
        <f t="shared" si="14"/>
        <v>0.4176216651217976</v>
      </c>
      <c r="AG45" s="85">
        <f t="shared" si="6"/>
        <v>29.835872232245368</v>
      </c>
      <c r="AH45" s="83"/>
      <c r="AI45" s="87">
        <f t="shared" si="20"/>
        <v>2.8528244561160445</v>
      </c>
      <c r="AJ45" s="109">
        <f t="shared" si="21"/>
        <v>0.3490953944403106</v>
      </c>
      <c r="AK45" s="83">
        <f t="shared" si="22"/>
        <v>85.11650597370318</v>
      </c>
      <c r="AL45" s="87">
        <f t="shared" si="23"/>
        <v>6.647393930346408</v>
      </c>
    </row>
    <row r="46" spans="1:38" ht="12.75" hidden="1">
      <c r="A46" s="1">
        <v>460</v>
      </c>
      <c r="B46" s="169"/>
      <c r="C46" s="170"/>
      <c r="D46" s="96">
        <v>1</v>
      </c>
      <c r="E46" s="96"/>
      <c r="F46" s="96"/>
      <c r="G46" s="68" t="s">
        <v>75</v>
      </c>
      <c r="H46" s="69">
        <v>3840</v>
      </c>
      <c r="I46" s="70">
        <f>'[1]MihrlineDX'!G103</f>
        <v>10</v>
      </c>
      <c r="J46" s="69">
        <v>4256</v>
      </c>
      <c r="K46" s="68"/>
      <c r="L46" s="68"/>
      <c r="M46" s="68"/>
      <c r="N46" s="70">
        <v>12</v>
      </c>
      <c r="O46" s="10">
        <v>12</v>
      </c>
      <c r="P46" s="72">
        <v>60717.5</v>
      </c>
      <c r="Q46" s="72">
        <v>57645</v>
      </c>
      <c r="R46" s="72">
        <v>1034569.6</v>
      </c>
      <c r="S46" s="72">
        <v>969306.4</v>
      </c>
      <c r="T46" s="73">
        <f t="shared" si="12"/>
        <v>40226215.6</v>
      </c>
      <c r="U46" s="76">
        <f>'[1]Annual'!R103</f>
        <v>0.9</v>
      </c>
      <c r="V46" s="72">
        <v>900371.8636363634</v>
      </c>
      <c r="W46" s="166"/>
      <c r="X46" s="167">
        <v>12.511362826972015</v>
      </c>
      <c r="Y46" s="168">
        <f t="shared" si="16"/>
        <v>810334.6772727271</v>
      </c>
      <c r="Z46" s="72">
        <v>11264879.065151513</v>
      </c>
      <c r="AA46" s="81">
        <v>6454026.432866488</v>
      </c>
      <c r="AB46" s="81">
        <f t="shared" si="17"/>
        <v>5643691.755593761</v>
      </c>
      <c r="AC46" s="82">
        <f t="shared" si="18"/>
        <v>111.96160001503145</v>
      </c>
      <c r="AD46" s="83"/>
      <c r="AE46" s="83">
        <f t="shared" si="19"/>
        <v>7.168178719846248</v>
      </c>
      <c r="AF46" s="84">
        <f t="shared" si="14"/>
        <v>0.572933486062212</v>
      </c>
      <c r="AG46" s="85">
        <f t="shared" si="6"/>
        <v>15.619253424171452</v>
      </c>
      <c r="AH46" s="83"/>
      <c r="AI46" s="87">
        <f t="shared" si="20"/>
        <v>6.268178719846248</v>
      </c>
      <c r="AJ46" s="109">
        <f t="shared" si="21"/>
        <v>0.5009988765039488</v>
      </c>
      <c r="AK46" s="83">
        <f t="shared" si="22"/>
        <v>97.90427193327714</v>
      </c>
      <c r="AL46" s="87">
        <f t="shared" si="23"/>
        <v>5.822402241018692</v>
      </c>
    </row>
    <row r="47" spans="1:38" ht="12.75" hidden="1">
      <c r="A47" s="1">
        <v>576</v>
      </c>
      <c r="B47" s="169"/>
      <c r="C47" s="170"/>
      <c r="D47" s="96">
        <v>1</v>
      </c>
      <c r="E47" s="96"/>
      <c r="F47" s="96"/>
      <c r="G47" s="68" t="s">
        <v>75</v>
      </c>
      <c r="H47" s="69">
        <v>1275</v>
      </c>
      <c r="I47" s="70"/>
      <c r="J47" s="69">
        <v>1275</v>
      </c>
      <c r="K47" s="68"/>
      <c r="L47" s="68"/>
      <c r="M47" s="68"/>
      <c r="N47" s="70">
        <v>5</v>
      </c>
      <c r="O47" s="10">
        <v>5</v>
      </c>
      <c r="P47" s="72">
        <v>7956</v>
      </c>
      <c r="Q47" s="72">
        <v>5559</v>
      </c>
      <c r="R47" s="72">
        <v>127219.5</v>
      </c>
      <c r="S47" s="72">
        <v>67090.5</v>
      </c>
      <c r="T47" s="73">
        <f t="shared" si="12"/>
        <v>2784255.75</v>
      </c>
      <c r="U47" s="76">
        <f>'[1]Annual'!R112</f>
        <v>0.58</v>
      </c>
      <c r="V47" s="72">
        <v>72165</v>
      </c>
      <c r="W47" s="166"/>
      <c r="X47" s="167">
        <v>9.003533568904594</v>
      </c>
      <c r="Y47" s="168">
        <f t="shared" si="16"/>
        <v>41855.7</v>
      </c>
      <c r="Z47" s="72">
        <v>649740</v>
      </c>
      <c r="AA47" s="81">
        <v>620978.88785372</v>
      </c>
      <c r="AB47" s="81">
        <f t="shared" si="17"/>
        <v>579123.18785372</v>
      </c>
      <c r="AC47" s="82">
        <f t="shared" si="18"/>
        <v>111.70694150993344</v>
      </c>
      <c r="AD47" s="83"/>
      <c r="AE47" s="83">
        <f t="shared" si="19"/>
        <v>8.604987013839395</v>
      </c>
      <c r="AF47" s="84">
        <f t="shared" si="14"/>
        <v>0.9557344289311417</v>
      </c>
      <c r="AG47" s="85">
        <f t="shared" si="6"/>
        <v>12.98165137614679</v>
      </c>
      <c r="AH47" s="83"/>
      <c r="AI47" s="87">
        <f t="shared" si="20"/>
        <v>8.024987013839397</v>
      </c>
      <c r="AJ47" s="109">
        <f t="shared" si="21"/>
        <v>0.8913152766548467</v>
      </c>
      <c r="AK47" s="83">
        <f t="shared" si="22"/>
        <v>104.1775837117683</v>
      </c>
      <c r="AL47" s="87">
        <f t="shared" si="23"/>
        <v>8.631970068097868</v>
      </c>
    </row>
    <row r="48" spans="1:38" ht="12.75" hidden="1">
      <c r="A48" s="1">
        <v>745</v>
      </c>
      <c r="B48" s="169"/>
      <c r="C48" s="170"/>
      <c r="D48" s="96">
        <v>1</v>
      </c>
      <c r="E48" s="96"/>
      <c r="F48" s="96"/>
      <c r="G48" s="68" t="s">
        <v>75</v>
      </c>
      <c r="H48" s="69">
        <v>5880</v>
      </c>
      <c r="I48" s="70">
        <f>'[1]MihrlineDX'!G115</f>
        <v>8</v>
      </c>
      <c r="J48" s="69">
        <v>6187</v>
      </c>
      <c r="K48" s="68"/>
      <c r="L48" s="68"/>
      <c r="M48" s="68"/>
      <c r="N48" s="70">
        <v>20</v>
      </c>
      <c r="O48" s="10">
        <v>21</v>
      </c>
      <c r="P48" s="72">
        <v>57647.6</v>
      </c>
      <c r="Q48" s="72">
        <v>52396.2</v>
      </c>
      <c r="R48" s="72">
        <v>748912.2</v>
      </c>
      <c r="S48" s="72">
        <v>614429.1</v>
      </c>
      <c r="T48" s="73">
        <f t="shared" si="12"/>
        <v>25498807.65</v>
      </c>
      <c r="U48" s="76">
        <f>'[1]Annual'!R115</f>
        <v>0.56</v>
      </c>
      <c r="V48" s="72">
        <v>2118000</v>
      </c>
      <c r="W48" s="166"/>
      <c r="X48" s="167">
        <f>Z48/V48</f>
        <v>4.823418319169027</v>
      </c>
      <c r="Y48" s="168">
        <f t="shared" si="16"/>
        <v>1186080</v>
      </c>
      <c r="Z48" s="72">
        <v>10216000</v>
      </c>
      <c r="AA48" s="81">
        <v>5238151.3243994</v>
      </c>
      <c r="AB48" s="81">
        <f t="shared" si="17"/>
        <v>4052071.3243993996</v>
      </c>
      <c r="AC48" s="82">
        <f t="shared" si="18"/>
        <v>99.97196980695928</v>
      </c>
      <c r="AD48" s="83"/>
      <c r="AE48" s="83">
        <f t="shared" si="19"/>
        <v>2.473159265533239</v>
      </c>
      <c r="AF48" s="84">
        <f t="shared" si="14"/>
        <v>0.5127399495300901</v>
      </c>
      <c r="AG48" s="85">
        <f t="shared" si="6"/>
        <v>40.42277875113081</v>
      </c>
      <c r="AH48" s="83"/>
      <c r="AI48" s="87">
        <f t="shared" si="20"/>
        <v>1.9131592655332388</v>
      </c>
      <c r="AJ48" s="109">
        <f t="shared" si="21"/>
        <v>0.3966397146044831</v>
      </c>
      <c r="AK48" s="83">
        <f t="shared" si="22"/>
        <v>77.33521370632603</v>
      </c>
      <c r="AL48" s="87">
        <f t="shared" si="23"/>
        <v>6.594855817212108</v>
      </c>
    </row>
    <row r="49" spans="1:38" ht="12.75" hidden="1">
      <c r="A49" s="70">
        <v>90</v>
      </c>
      <c r="B49" s="164"/>
      <c r="C49" s="165"/>
      <c r="D49" s="66">
        <v>15</v>
      </c>
      <c r="E49" s="66"/>
      <c r="F49" s="66"/>
      <c r="G49" s="68" t="s">
        <v>76</v>
      </c>
      <c r="H49" s="69">
        <v>4652</v>
      </c>
      <c r="I49" s="70">
        <f>'[1]MihrlineDX'!G35</f>
        <v>8</v>
      </c>
      <c r="J49" s="69">
        <v>4194</v>
      </c>
      <c r="K49" s="68"/>
      <c r="L49" s="68"/>
      <c r="M49" s="68"/>
      <c r="N49" s="70">
        <v>16</v>
      </c>
      <c r="O49" s="10">
        <v>14</v>
      </c>
      <c r="P49" s="72">
        <v>55331.7</v>
      </c>
      <c r="Q49" s="72">
        <v>51155</v>
      </c>
      <c r="R49" s="72">
        <v>866189.8</v>
      </c>
      <c r="S49" s="72">
        <v>742983.2</v>
      </c>
      <c r="T49" s="73">
        <f t="shared" si="12"/>
        <v>30833802.799999997</v>
      </c>
      <c r="U49" s="76">
        <f>'[1]Annual'!R35</f>
        <v>0.56</v>
      </c>
      <c r="V49" s="72">
        <v>1862709</v>
      </c>
      <c r="W49" s="166"/>
      <c r="X49" s="167">
        <v>6.808577636120296</v>
      </c>
      <c r="Y49" s="168">
        <f t="shared" si="16"/>
        <v>1043117.0400000002</v>
      </c>
      <c r="Z49" s="72">
        <v>12682398.839999998</v>
      </c>
      <c r="AA49" s="81">
        <v>5513357.725657144</v>
      </c>
      <c r="AB49" s="81">
        <f t="shared" si="17"/>
        <v>4470240.685657144</v>
      </c>
      <c r="AC49" s="82">
        <f t="shared" si="18"/>
        <v>107.77749439267214</v>
      </c>
      <c r="AD49" s="83"/>
      <c r="AE49" s="83">
        <f t="shared" si="19"/>
        <v>2.9598599274804296</v>
      </c>
      <c r="AF49" s="84">
        <f t="shared" si="14"/>
        <v>0.4347251490205574</v>
      </c>
      <c r="AG49" s="85">
        <f t="shared" si="6"/>
        <v>36.413038803636006</v>
      </c>
      <c r="AH49" s="83"/>
      <c r="AI49" s="87">
        <f t="shared" si="20"/>
        <v>2.3998599274804295</v>
      </c>
      <c r="AJ49" s="109">
        <f t="shared" si="21"/>
        <v>0.3524759583776932</v>
      </c>
      <c r="AK49" s="83">
        <f t="shared" si="22"/>
        <v>87.38619266263598</v>
      </c>
      <c r="AL49" s="87">
        <f t="shared" si="23"/>
        <v>6.016610719673263</v>
      </c>
    </row>
    <row r="50" spans="1:38" ht="12.75" hidden="1">
      <c r="A50" s="70">
        <v>92</v>
      </c>
      <c r="B50" s="164"/>
      <c r="C50" s="165"/>
      <c r="D50" s="66">
        <v>15</v>
      </c>
      <c r="E50" s="66"/>
      <c r="F50" s="66"/>
      <c r="G50" s="68" t="s">
        <v>76</v>
      </c>
      <c r="H50" s="69">
        <v>6754</v>
      </c>
      <c r="I50" s="70">
        <f>'[1]MihrlineDX'!G36</f>
        <v>11</v>
      </c>
      <c r="J50" s="69">
        <v>6093</v>
      </c>
      <c r="K50" s="68"/>
      <c r="L50" s="68"/>
      <c r="M50" s="68"/>
      <c r="N50" s="70">
        <v>22</v>
      </c>
      <c r="O50" s="10">
        <v>19</v>
      </c>
      <c r="P50" s="72">
        <v>86675.7</v>
      </c>
      <c r="Q50" s="72">
        <v>82616.7</v>
      </c>
      <c r="R50" s="72">
        <v>1124772.6</v>
      </c>
      <c r="S50" s="72">
        <v>1009520.4</v>
      </c>
      <c r="T50" s="73">
        <f t="shared" si="12"/>
        <v>41895096.6</v>
      </c>
      <c r="U50" s="76">
        <f>'[1]Annual'!R36</f>
        <v>0.56</v>
      </c>
      <c r="V50" s="72">
        <v>2494260.2123376625</v>
      </c>
      <c r="W50" s="166"/>
      <c r="X50" s="167">
        <v>4.988083281056623</v>
      </c>
      <c r="Y50" s="168">
        <f t="shared" si="16"/>
        <v>1396785.718909091</v>
      </c>
      <c r="Z50" s="72">
        <v>12441577.663766237</v>
      </c>
      <c r="AA50" s="81">
        <v>8232648.455227247</v>
      </c>
      <c r="AB50" s="81">
        <f t="shared" si="17"/>
        <v>6835862.736318156</v>
      </c>
      <c r="AC50" s="82">
        <f t="shared" si="18"/>
        <v>99.64872060040219</v>
      </c>
      <c r="AD50" s="83"/>
      <c r="AE50" s="83">
        <f t="shared" si="19"/>
        <v>3.3006373651414145</v>
      </c>
      <c r="AF50" s="84">
        <f t="shared" si="14"/>
        <v>0.6617045424394442</v>
      </c>
      <c r="AG50" s="85">
        <f t="shared" si="6"/>
        <v>30.190750929747406</v>
      </c>
      <c r="AH50" s="83"/>
      <c r="AI50" s="87">
        <f t="shared" si="20"/>
        <v>2.7406373651414144</v>
      </c>
      <c r="AJ50" s="109">
        <f t="shared" si="21"/>
        <v>0.5494369702185218</v>
      </c>
      <c r="AK50" s="83">
        <f t="shared" si="22"/>
        <v>82.74190007974364</v>
      </c>
      <c r="AL50" s="87">
        <f t="shared" si="23"/>
        <v>6.771396334653718</v>
      </c>
    </row>
    <row r="51" spans="1:38" ht="12.75" hidden="1">
      <c r="A51" s="70">
        <v>94</v>
      </c>
      <c r="B51" s="164"/>
      <c r="C51" s="165"/>
      <c r="D51" s="66">
        <v>15</v>
      </c>
      <c r="E51" s="66"/>
      <c r="F51" s="66"/>
      <c r="G51" s="68" t="s">
        <v>76</v>
      </c>
      <c r="H51" s="69">
        <v>8851</v>
      </c>
      <c r="I51" s="70">
        <f>'[1]MihrlineDX'!G37</f>
        <v>18</v>
      </c>
      <c r="J51" s="69">
        <v>10745</v>
      </c>
      <c r="K51" s="68"/>
      <c r="L51" s="68"/>
      <c r="M51" s="68"/>
      <c r="N51" s="70">
        <v>29</v>
      </c>
      <c r="O51" s="10">
        <v>35</v>
      </c>
      <c r="P51" s="72">
        <v>130862.3</v>
      </c>
      <c r="Q51" s="72">
        <v>120423.5</v>
      </c>
      <c r="R51" s="72">
        <v>2040478.4</v>
      </c>
      <c r="S51" s="72">
        <v>1720765.2</v>
      </c>
      <c r="T51" s="73">
        <f t="shared" si="12"/>
        <v>71411755.8</v>
      </c>
      <c r="U51" s="76">
        <f>'[1]Annual'!R37</f>
        <v>0.56</v>
      </c>
      <c r="V51" s="72">
        <v>4822448.3198924735</v>
      </c>
      <c r="W51" s="166"/>
      <c r="X51" s="167">
        <v>6.422115908670905</v>
      </c>
      <c r="Y51" s="168">
        <f t="shared" si="16"/>
        <v>2700571.0591397854</v>
      </c>
      <c r="Z51" s="72">
        <v>30970322.073924735</v>
      </c>
      <c r="AA51" s="81">
        <v>12774836.01977057</v>
      </c>
      <c r="AB51" s="81">
        <f t="shared" si="17"/>
        <v>10074264.960630786</v>
      </c>
      <c r="AC51" s="82">
        <f t="shared" si="18"/>
        <v>106.08258371306738</v>
      </c>
      <c r="AD51" s="83"/>
      <c r="AE51" s="83">
        <f t="shared" si="19"/>
        <v>2.64903533897392</v>
      </c>
      <c r="AF51" s="84">
        <f t="shared" si="14"/>
        <v>0.4124863793562632</v>
      </c>
      <c r="AG51" s="85">
        <f t="shared" si="6"/>
        <v>40.04574123732057</v>
      </c>
      <c r="AH51" s="83"/>
      <c r="AI51" s="87">
        <f t="shared" si="20"/>
        <v>2.0890353389739205</v>
      </c>
      <c r="AJ51" s="109">
        <f t="shared" si="21"/>
        <v>0.32528770403433255</v>
      </c>
      <c r="AK51" s="83">
        <f t="shared" si="22"/>
        <v>83.65696862016787</v>
      </c>
      <c r="AL51" s="87">
        <f t="shared" si="23"/>
        <v>5.854526207660863</v>
      </c>
    </row>
    <row r="52" spans="1:38" ht="12.75" hidden="1">
      <c r="A52" s="1">
        <v>150</v>
      </c>
      <c r="B52" s="169"/>
      <c r="C52" s="170"/>
      <c r="D52" s="96">
        <v>8</v>
      </c>
      <c r="E52" s="96"/>
      <c r="F52" s="96"/>
      <c r="G52" s="68" t="s">
        <v>76</v>
      </c>
      <c r="H52" s="69">
        <v>6962</v>
      </c>
      <c r="I52" s="70">
        <f>'[1]MihrlineDX'!G51</f>
        <v>16</v>
      </c>
      <c r="J52" s="69">
        <v>7623</v>
      </c>
      <c r="K52" s="68"/>
      <c r="L52" s="68"/>
      <c r="M52" s="68"/>
      <c r="N52" s="70">
        <v>22</v>
      </c>
      <c r="O52" s="10">
        <v>25</v>
      </c>
      <c r="P52" s="72">
        <v>110479</v>
      </c>
      <c r="Q52" s="72">
        <v>104628.7</v>
      </c>
      <c r="R52" s="72">
        <v>1490133.1</v>
      </c>
      <c r="S52" s="72">
        <v>1342127.7</v>
      </c>
      <c r="T52" s="73">
        <f t="shared" si="12"/>
        <v>55698299.55</v>
      </c>
      <c r="U52" s="76">
        <f>'[1]Annual'!R51</f>
        <v>0.56</v>
      </c>
      <c r="V52" s="72">
        <v>4885596.020031353</v>
      </c>
      <c r="W52" s="166"/>
      <c r="X52" s="167">
        <v>4.407808137723277</v>
      </c>
      <c r="Y52" s="168">
        <f t="shared" si="16"/>
        <v>2735933.771217558</v>
      </c>
      <c r="Z52" s="72">
        <v>21534769.894722655</v>
      </c>
      <c r="AA52" s="81">
        <v>10551154.730021663</v>
      </c>
      <c r="AB52" s="81">
        <f t="shared" si="17"/>
        <v>7815220.9588041045</v>
      </c>
      <c r="AC52" s="82">
        <f t="shared" si="18"/>
        <v>100.84379075742758</v>
      </c>
      <c r="AD52" s="83"/>
      <c r="AE52" s="83">
        <f t="shared" si="19"/>
        <v>2.1596453506923297</v>
      </c>
      <c r="AF52" s="84">
        <f t="shared" si="14"/>
        <v>0.4899590189077129</v>
      </c>
      <c r="AG52" s="85">
        <f t="shared" si="6"/>
        <v>46.69460692937362</v>
      </c>
      <c r="AH52" s="83"/>
      <c r="AI52" s="87">
        <f t="shared" si="20"/>
        <v>1.5996453506923296</v>
      </c>
      <c r="AJ52" s="109">
        <f t="shared" si="21"/>
        <v>0.3629117467709425</v>
      </c>
      <c r="AK52" s="83">
        <f t="shared" si="22"/>
        <v>74.69481087697835</v>
      </c>
      <c r="AL52" s="87">
        <f t="shared" si="23"/>
        <v>5.823008465441928</v>
      </c>
    </row>
    <row r="53" spans="1:38" ht="12.75" hidden="1">
      <c r="A53" s="1">
        <v>152</v>
      </c>
      <c r="B53" s="169"/>
      <c r="C53" s="170"/>
      <c r="D53" s="96">
        <v>8</v>
      </c>
      <c r="E53" s="96">
        <v>15</v>
      </c>
      <c r="F53" s="96"/>
      <c r="G53" s="68" t="s">
        <v>76</v>
      </c>
      <c r="H53" s="69">
        <v>6598</v>
      </c>
      <c r="I53" s="70">
        <f>'[1]MihrlineDX'!G52</f>
        <v>9</v>
      </c>
      <c r="J53" s="69">
        <v>6192</v>
      </c>
      <c r="K53" s="68"/>
      <c r="L53" s="68"/>
      <c r="M53" s="68"/>
      <c r="N53" s="70">
        <v>22</v>
      </c>
      <c r="O53" s="10">
        <v>20</v>
      </c>
      <c r="P53" s="72">
        <v>80840.7</v>
      </c>
      <c r="Q53" s="72">
        <v>73410.1</v>
      </c>
      <c r="R53" s="72">
        <v>1162536.5</v>
      </c>
      <c r="S53" s="72">
        <v>953706.5</v>
      </c>
      <c r="T53" s="73">
        <f t="shared" si="12"/>
        <v>39578819.75</v>
      </c>
      <c r="U53" s="76">
        <f>'[1]Annual'!R52</f>
        <v>0.56</v>
      </c>
      <c r="V53" s="72">
        <v>3364950.145833333</v>
      </c>
      <c r="W53" s="166"/>
      <c r="X53" s="167">
        <v>4.725247478024692</v>
      </c>
      <c r="Y53" s="168">
        <f t="shared" si="16"/>
        <v>1884372.0816666668</v>
      </c>
      <c r="Z53" s="72">
        <v>15900222.190277778</v>
      </c>
      <c r="AA53" s="81">
        <v>7611463.770807972</v>
      </c>
      <c r="AB53" s="81">
        <f t="shared" si="17"/>
        <v>5727091.689141305</v>
      </c>
      <c r="AC53" s="82">
        <f t="shared" si="18"/>
        <v>103.68414933105896</v>
      </c>
      <c r="AD53" s="83"/>
      <c r="AE53" s="83">
        <f t="shared" si="19"/>
        <v>2.2619841129690754</v>
      </c>
      <c r="AF53" s="84">
        <f t="shared" si="14"/>
        <v>0.4787017237697481</v>
      </c>
      <c r="AG53" s="85">
        <f t="shared" si="6"/>
        <v>45.83770006897324</v>
      </c>
      <c r="AH53" s="83"/>
      <c r="AI53" s="87">
        <f t="shared" si="20"/>
        <v>1.7019841129690751</v>
      </c>
      <c r="AJ53" s="109">
        <f t="shared" si="21"/>
        <v>0.36018941248777936</v>
      </c>
      <c r="AK53" s="83">
        <f t="shared" si="22"/>
        <v>78.01503729243395</v>
      </c>
      <c r="AL53" s="87">
        <f t="shared" si="23"/>
        <v>6.005088241656427</v>
      </c>
    </row>
    <row r="54" spans="1:38" ht="12.75" hidden="1">
      <c r="A54" s="1">
        <v>154</v>
      </c>
      <c r="B54" s="169"/>
      <c r="C54" s="170"/>
      <c r="D54" s="96">
        <v>8</v>
      </c>
      <c r="E54" s="96">
        <v>15</v>
      </c>
      <c r="F54" s="96"/>
      <c r="G54" s="68" t="s">
        <v>76</v>
      </c>
      <c r="H54" s="69">
        <v>1993</v>
      </c>
      <c r="I54" s="70">
        <f>'[1]MihrlineDX'!G53</f>
        <v>6</v>
      </c>
      <c r="J54" s="69">
        <v>2248</v>
      </c>
      <c r="K54" s="68"/>
      <c r="L54" s="68"/>
      <c r="M54" s="68"/>
      <c r="N54" s="70">
        <v>7</v>
      </c>
      <c r="O54" s="10">
        <v>8</v>
      </c>
      <c r="P54" s="72">
        <v>23016.4</v>
      </c>
      <c r="Q54" s="72">
        <v>21432.9</v>
      </c>
      <c r="R54" s="72">
        <v>357673.2</v>
      </c>
      <c r="S54" s="72">
        <v>309963.7</v>
      </c>
      <c r="T54" s="73">
        <f t="shared" si="12"/>
        <v>12863493.55</v>
      </c>
      <c r="U54" s="76">
        <f>'[1]Annual'!R53</f>
        <v>0.56</v>
      </c>
      <c r="V54" s="72">
        <v>574656.8</v>
      </c>
      <c r="W54" s="166"/>
      <c r="X54" s="167">
        <v>5.279693943701122</v>
      </c>
      <c r="Y54" s="168">
        <f t="shared" si="16"/>
        <v>321807.8080000001</v>
      </c>
      <c r="Z54" s="72">
        <v>3034012.026666667</v>
      </c>
      <c r="AA54" s="81">
        <v>2321851.3653911403</v>
      </c>
      <c r="AB54" s="81">
        <f t="shared" si="17"/>
        <v>2000043.5573911401</v>
      </c>
      <c r="AC54" s="82">
        <f t="shared" si="18"/>
        <v>108.33118081972762</v>
      </c>
      <c r="AD54" s="83"/>
      <c r="AE54" s="83">
        <f t="shared" si="19"/>
        <v>4.04041397472568</v>
      </c>
      <c r="AF54" s="84">
        <f t="shared" si="14"/>
        <v>0.7652742787384579</v>
      </c>
      <c r="AG54" s="85">
        <f t="shared" si="6"/>
        <v>26.81190132926482</v>
      </c>
      <c r="AH54" s="83"/>
      <c r="AI54" s="87">
        <f t="shared" si="20"/>
        <v>3.4804139747256797</v>
      </c>
      <c r="AJ54" s="109">
        <f t="shared" si="21"/>
        <v>0.6592075244963674</v>
      </c>
      <c r="AK54" s="83">
        <f t="shared" si="22"/>
        <v>93.31651607533931</v>
      </c>
      <c r="AL54" s="87">
        <f t="shared" si="23"/>
        <v>6.452508978926049</v>
      </c>
    </row>
    <row r="55" spans="1:38" ht="12.75" hidden="1">
      <c r="A55" s="1">
        <v>156</v>
      </c>
      <c r="B55" s="169"/>
      <c r="C55" s="170"/>
      <c r="D55" s="96">
        <v>15</v>
      </c>
      <c r="E55" s="96"/>
      <c r="F55" s="96"/>
      <c r="G55" s="68" t="s">
        <v>76</v>
      </c>
      <c r="H55" s="69">
        <v>6036</v>
      </c>
      <c r="I55" s="70">
        <f>'[1]MihrlineDX'!G54</f>
        <v>11</v>
      </c>
      <c r="J55" s="69">
        <v>6036</v>
      </c>
      <c r="K55" s="68"/>
      <c r="L55" s="68"/>
      <c r="M55" s="68"/>
      <c r="N55" s="70">
        <v>20</v>
      </c>
      <c r="O55" s="10">
        <v>20</v>
      </c>
      <c r="P55" s="72">
        <v>91657</v>
      </c>
      <c r="Q55" s="72">
        <v>85561.6</v>
      </c>
      <c r="R55" s="72">
        <v>1207155.3</v>
      </c>
      <c r="S55" s="72">
        <v>1048231.7</v>
      </c>
      <c r="T55" s="73">
        <f t="shared" si="12"/>
        <v>43501615.55</v>
      </c>
      <c r="U55" s="76">
        <f>'[1]Annual'!R54</f>
        <v>0.56</v>
      </c>
      <c r="V55" s="72">
        <v>5649706.696873426</v>
      </c>
      <c r="W55" s="166"/>
      <c r="X55" s="167">
        <v>3.8212832500105174</v>
      </c>
      <c r="Y55" s="168">
        <f t="shared" si="16"/>
        <v>3163835.750249119</v>
      </c>
      <c r="Z55" s="72">
        <v>21589129.56823467</v>
      </c>
      <c r="AA55" s="81">
        <v>8506956.905903818</v>
      </c>
      <c r="AB55" s="81">
        <f t="shared" si="17"/>
        <v>5343121.155654699</v>
      </c>
      <c r="AC55" s="82">
        <f t="shared" si="18"/>
        <v>99.42493952782344</v>
      </c>
      <c r="AD55" s="83"/>
      <c r="AE55" s="83">
        <f t="shared" si="19"/>
        <v>1.5057342553041926</v>
      </c>
      <c r="AF55" s="84">
        <f t="shared" si="14"/>
        <v>0.3940389018008671</v>
      </c>
      <c r="AG55" s="85">
        <f t="shared" si="6"/>
        <v>66.03086778266683</v>
      </c>
      <c r="AH55" s="83"/>
      <c r="AI55" s="87">
        <f t="shared" si="20"/>
        <v>0.9457342553041924</v>
      </c>
      <c r="AJ55" s="109">
        <f t="shared" si="21"/>
        <v>0.2474912728077903</v>
      </c>
      <c r="AK55" s="83">
        <f t="shared" si="22"/>
        <v>62.447653569530004</v>
      </c>
      <c r="AL55" s="87">
        <f t="shared" si="23"/>
        <v>5.097271104904287</v>
      </c>
    </row>
    <row r="56" spans="1:38" ht="12.75" hidden="1">
      <c r="A56" s="1">
        <v>158</v>
      </c>
      <c r="B56" s="169"/>
      <c r="C56" s="170"/>
      <c r="D56" s="96">
        <v>8</v>
      </c>
      <c r="E56" s="96">
        <v>15</v>
      </c>
      <c r="F56" s="96"/>
      <c r="G56" s="68" t="s">
        <v>76</v>
      </c>
      <c r="H56" s="69">
        <v>1790</v>
      </c>
      <c r="I56" s="70">
        <f>'[1]MihrlineDX'!G55</f>
        <v>3</v>
      </c>
      <c r="J56" s="69">
        <v>1587</v>
      </c>
      <c r="K56" s="68"/>
      <c r="L56" s="68"/>
      <c r="M56" s="68"/>
      <c r="N56" s="70">
        <v>6</v>
      </c>
      <c r="O56" s="10">
        <v>5</v>
      </c>
      <c r="P56" s="72">
        <v>20652.3</v>
      </c>
      <c r="Q56" s="72">
        <v>18740.6</v>
      </c>
      <c r="R56" s="72">
        <v>298379.5</v>
      </c>
      <c r="S56" s="72">
        <v>261692.1</v>
      </c>
      <c r="T56" s="73">
        <f t="shared" si="12"/>
        <v>10860222.15</v>
      </c>
      <c r="U56" s="76">
        <f>'[1]Annual'!R55</f>
        <v>0.56</v>
      </c>
      <c r="V56" s="72">
        <v>648641.7905844154</v>
      </c>
      <c r="W56" s="166"/>
      <c r="X56" s="167">
        <v>4.47005759551538</v>
      </c>
      <c r="Y56" s="168">
        <f t="shared" si="16"/>
        <v>363239.40272727265</v>
      </c>
      <c r="Z56" s="72">
        <v>2899466.1627705623</v>
      </c>
      <c r="AA56" s="81">
        <v>2003515.5320561389</v>
      </c>
      <c r="AB56" s="81">
        <f t="shared" si="17"/>
        <v>1640276.1293288663</v>
      </c>
      <c r="AC56" s="82">
        <f t="shared" si="18"/>
        <v>106.90775813240445</v>
      </c>
      <c r="AD56" s="83"/>
      <c r="AE56" s="83">
        <f t="shared" si="19"/>
        <v>3.0887857691854927</v>
      </c>
      <c r="AF56" s="84">
        <f t="shared" si="14"/>
        <v>0.6909946243834401</v>
      </c>
      <c r="AG56" s="85">
        <f t="shared" si="6"/>
        <v>34.61158077032835</v>
      </c>
      <c r="AH56" s="83"/>
      <c r="AI56" s="87">
        <f t="shared" si="20"/>
        <v>2.5287857691854927</v>
      </c>
      <c r="AJ56" s="109">
        <f t="shared" si="21"/>
        <v>0.5657165965204827</v>
      </c>
      <c r="AK56" s="83">
        <f t="shared" si="22"/>
        <v>87.52527290102059</v>
      </c>
      <c r="AL56" s="87">
        <f t="shared" si="23"/>
        <v>6.267961964953723</v>
      </c>
    </row>
    <row r="57" spans="1:38" ht="12.75" hidden="1">
      <c r="A57" s="1">
        <v>161</v>
      </c>
      <c r="B57" s="169"/>
      <c r="C57" s="170"/>
      <c r="D57" s="96">
        <v>8</v>
      </c>
      <c r="E57" s="96"/>
      <c r="F57" s="96"/>
      <c r="G57" s="68" t="s">
        <v>76</v>
      </c>
      <c r="H57" s="69">
        <v>2248</v>
      </c>
      <c r="I57" s="70">
        <f>'[1]MihrlineDX'!G56</f>
        <v>3</v>
      </c>
      <c r="J57" s="69">
        <v>1790</v>
      </c>
      <c r="K57" s="68"/>
      <c r="L57" s="68"/>
      <c r="M57" s="68"/>
      <c r="N57" s="70">
        <v>8</v>
      </c>
      <c r="O57" s="10">
        <v>6</v>
      </c>
      <c r="P57" s="72">
        <v>20890.8</v>
      </c>
      <c r="Q57" s="72">
        <v>17854.4</v>
      </c>
      <c r="R57" s="72">
        <v>406788.5</v>
      </c>
      <c r="S57" s="72">
        <v>312124.1</v>
      </c>
      <c r="T57" s="73">
        <f t="shared" si="12"/>
        <v>12953150.149999999</v>
      </c>
      <c r="U57" s="76">
        <f>'[1]Annual'!R56</f>
        <v>0.56</v>
      </c>
      <c r="V57" s="72">
        <v>402906.66666666657</v>
      </c>
      <c r="W57" s="166"/>
      <c r="X57" s="167">
        <v>7.706050470745916</v>
      </c>
      <c r="Y57" s="168">
        <f t="shared" si="16"/>
        <v>225627.7333333333</v>
      </c>
      <c r="Z57" s="72">
        <v>3104819.108333334</v>
      </c>
      <c r="AA57" s="81">
        <v>2205351.831937408</v>
      </c>
      <c r="AB57" s="81">
        <f t="shared" si="17"/>
        <v>1979724.0986040747</v>
      </c>
      <c r="AC57" s="82">
        <f t="shared" si="18"/>
        <v>123.5186750569836</v>
      </c>
      <c r="AD57" s="83"/>
      <c r="AE57" s="83">
        <f t="shared" si="19"/>
        <v>5.473604718886281</v>
      </c>
      <c r="AF57" s="84">
        <f t="shared" si="14"/>
        <v>0.7102996197164093</v>
      </c>
      <c r="AG57" s="85">
        <f t="shared" si="6"/>
        <v>22.56623950772171</v>
      </c>
      <c r="AH57" s="83"/>
      <c r="AI57" s="87">
        <f t="shared" si="20"/>
        <v>4.913604718886281</v>
      </c>
      <c r="AJ57" s="109">
        <f t="shared" si="21"/>
        <v>0.637629449422833</v>
      </c>
      <c r="AK57" s="83">
        <f t="shared" si="22"/>
        <v>110.88158093265943</v>
      </c>
      <c r="AL57" s="87">
        <f t="shared" si="23"/>
        <v>6.342746678657863</v>
      </c>
    </row>
    <row r="58" spans="1:38" ht="12.75" hidden="1">
      <c r="A58" s="1">
        <v>163</v>
      </c>
      <c r="B58" s="169"/>
      <c r="C58" s="170"/>
      <c r="D58" s="96">
        <v>8</v>
      </c>
      <c r="E58" s="96">
        <v>15</v>
      </c>
      <c r="F58" s="96"/>
      <c r="G58" s="68" t="s">
        <v>76</v>
      </c>
      <c r="H58" s="69">
        <v>4813</v>
      </c>
      <c r="I58" s="70">
        <f>'[1]MihrlineDX'!G57</f>
        <v>11</v>
      </c>
      <c r="J58" s="69">
        <v>4813</v>
      </c>
      <c r="K58" s="68"/>
      <c r="L58" s="68"/>
      <c r="M58" s="68"/>
      <c r="N58" s="70">
        <v>15</v>
      </c>
      <c r="O58" s="10">
        <v>15</v>
      </c>
      <c r="P58" s="72">
        <v>74156.2</v>
      </c>
      <c r="Q58" s="72">
        <v>69070.1</v>
      </c>
      <c r="R58" s="72">
        <v>1047501.1</v>
      </c>
      <c r="S58" s="72">
        <v>895857.9</v>
      </c>
      <c r="T58" s="73">
        <f t="shared" si="12"/>
        <v>37178102.85</v>
      </c>
      <c r="U58" s="76">
        <f>'[1]Annual'!R57</f>
        <v>0.56</v>
      </c>
      <c r="V58" s="72">
        <v>3498079.7725752513</v>
      </c>
      <c r="W58" s="166"/>
      <c r="X58" s="167">
        <v>4.497584944577888</v>
      </c>
      <c r="Y58" s="168">
        <f t="shared" si="16"/>
        <v>1958924.6726421409</v>
      </c>
      <c r="Z58" s="72">
        <v>15732910.920066891</v>
      </c>
      <c r="AA58" s="81">
        <v>6967070.598282315</v>
      </c>
      <c r="AB58" s="81">
        <f t="shared" si="17"/>
        <v>5008145.925640174</v>
      </c>
      <c r="AC58" s="82">
        <f t="shared" si="18"/>
        <v>100.86956003078487</v>
      </c>
      <c r="AD58" s="83"/>
      <c r="AE58" s="83">
        <f t="shared" si="19"/>
        <v>1.9916843100331092</v>
      </c>
      <c r="AF58" s="84">
        <f t="shared" si="14"/>
        <v>0.4428341731342297</v>
      </c>
      <c r="AG58" s="85">
        <f t="shared" si="6"/>
        <v>50.645355552912925</v>
      </c>
      <c r="AH58" s="83"/>
      <c r="AI58" s="87">
        <f t="shared" si="20"/>
        <v>1.4316843100331091</v>
      </c>
      <c r="AJ58" s="109">
        <f t="shared" si="21"/>
        <v>0.31832290610966485</v>
      </c>
      <c r="AK58" s="83">
        <f t="shared" si="22"/>
        <v>72.50816092115363</v>
      </c>
      <c r="AL58" s="87">
        <f t="shared" si="23"/>
        <v>5.590335169941767</v>
      </c>
    </row>
    <row r="59" spans="1:38" ht="12.75" hidden="1">
      <c r="A59" s="1">
        <v>165</v>
      </c>
      <c r="B59" s="169"/>
      <c r="C59" s="170"/>
      <c r="D59" s="96">
        <v>8</v>
      </c>
      <c r="E59" s="96">
        <v>15</v>
      </c>
      <c r="F59" s="96"/>
      <c r="G59" s="68" t="s">
        <v>76</v>
      </c>
      <c r="H59" s="69">
        <v>10584</v>
      </c>
      <c r="I59" s="70">
        <f>'[1]MihrlineDX'!G58</f>
        <v>19</v>
      </c>
      <c r="J59" s="69">
        <v>10433</v>
      </c>
      <c r="K59" s="68"/>
      <c r="L59" s="68"/>
      <c r="M59" s="68"/>
      <c r="N59" s="70">
        <v>36</v>
      </c>
      <c r="O59" s="10">
        <v>35</v>
      </c>
      <c r="P59" s="72">
        <v>119963.2</v>
      </c>
      <c r="Q59" s="72">
        <v>108277.7</v>
      </c>
      <c r="R59" s="72">
        <v>1943186.2</v>
      </c>
      <c r="S59" s="72">
        <v>1601943.4</v>
      </c>
      <c r="T59" s="73">
        <f t="shared" si="12"/>
        <v>66480651.099999994</v>
      </c>
      <c r="U59" s="76">
        <f>'[1]Annual'!R58</f>
        <v>0.56</v>
      </c>
      <c r="V59" s="72">
        <v>5543215.783205294</v>
      </c>
      <c r="W59" s="166"/>
      <c r="X59" s="167">
        <v>4.554911422067746</v>
      </c>
      <c r="Y59" s="168">
        <f t="shared" si="16"/>
        <v>3104200.838594965</v>
      </c>
      <c r="Z59" s="72">
        <v>25248856.885908</v>
      </c>
      <c r="AA59" s="81">
        <v>11856248.701317692</v>
      </c>
      <c r="AB59" s="81">
        <f t="shared" si="17"/>
        <v>8752047.862722727</v>
      </c>
      <c r="AC59" s="82">
        <f t="shared" si="18"/>
        <v>109.49852740977775</v>
      </c>
      <c r="AD59" s="83"/>
      <c r="AE59" s="83">
        <f t="shared" si="19"/>
        <v>2.138875548961936</v>
      </c>
      <c r="AF59" s="84">
        <f t="shared" si="14"/>
        <v>0.4695756625693004</v>
      </c>
      <c r="AG59" s="85">
        <f t="shared" si="6"/>
        <v>51.19443600303012</v>
      </c>
      <c r="AH59" s="83"/>
      <c r="AI59" s="87">
        <f t="shared" si="20"/>
        <v>1.578875548961936</v>
      </c>
      <c r="AJ59" s="109">
        <f t="shared" si="21"/>
        <v>0.3466314495848506</v>
      </c>
      <c r="AK59" s="83">
        <f t="shared" si="22"/>
        <v>80.82964324808087</v>
      </c>
      <c r="AL59" s="87">
        <f t="shared" si="23"/>
        <v>5.463393939338136</v>
      </c>
    </row>
    <row r="60" spans="1:38" ht="12.75" hidden="1">
      <c r="A60" s="1">
        <v>166</v>
      </c>
      <c r="B60" s="169"/>
      <c r="C60" s="170"/>
      <c r="D60" s="96">
        <v>8</v>
      </c>
      <c r="E60" s="96">
        <v>15</v>
      </c>
      <c r="F60" s="96"/>
      <c r="G60" s="68" t="s">
        <v>76</v>
      </c>
      <c r="H60" s="69">
        <v>6286</v>
      </c>
      <c r="I60" s="70">
        <f>'[1]MihrlineDX'!G59</f>
        <v>11</v>
      </c>
      <c r="J60" s="69">
        <v>6187</v>
      </c>
      <c r="K60" s="68"/>
      <c r="L60" s="68"/>
      <c r="M60" s="68"/>
      <c r="N60" s="70">
        <v>22</v>
      </c>
      <c r="O60" s="10">
        <v>21</v>
      </c>
      <c r="P60" s="72">
        <v>70132.8</v>
      </c>
      <c r="Q60" s="72">
        <v>64777.7</v>
      </c>
      <c r="R60" s="72">
        <v>1162601.5</v>
      </c>
      <c r="S60" s="72">
        <v>1011226.1</v>
      </c>
      <c r="T60" s="73">
        <f t="shared" si="12"/>
        <v>41965883.15</v>
      </c>
      <c r="U60" s="76">
        <f>'[1]Annual'!R59</f>
        <v>0.56</v>
      </c>
      <c r="V60" s="72">
        <v>3258892.765610651</v>
      </c>
      <c r="W60" s="166"/>
      <c r="X60" s="167">
        <v>4.461342492900513</v>
      </c>
      <c r="Y60" s="168">
        <f t="shared" si="16"/>
        <v>1824979.9487419648</v>
      </c>
      <c r="Z60" s="72">
        <v>14539036.77502487</v>
      </c>
      <c r="AA60" s="81">
        <v>7274095.408528022</v>
      </c>
      <c r="AB60" s="81">
        <f t="shared" si="17"/>
        <v>5449115.459786057</v>
      </c>
      <c r="AC60" s="82">
        <f t="shared" si="18"/>
        <v>112.29320288506726</v>
      </c>
      <c r="AD60" s="83"/>
      <c r="AE60" s="83">
        <f t="shared" si="19"/>
        <v>2.2320757176448556</v>
      </c>
      <c r="AF60" s="84">
        <f t="shared" si="14"/>
        <v>0.5003148090954311</v>
      </c>
      <c r="AG60" s="85">
        <f t="shared" si="6"/>
        <v>50.30886810755324</v>
      </c>
      <c r="AH60" s="83"/>
      <c r="AI60" s="87">
        <f t="shared" si="20"/>
        <v>1.6720757176448553</v>
      </c>
      <c r="AJ60" s="109">
        <f t="shared" si="21"/>
        <v>0.37479205425400236</v>
      </c>
      <c r="AK60" s="83">
        <f t="shared" si="22"/>
        <v>84.12023674483744</v>
      </c>
      <c r="AL60" s="87">
        <f t="shared" si="23"/>
        <v>5.388622247572582</v>
      </c>
    </row>
    <row r="61" spans="1:38" ht="12.75" hidden="1">
      <c r="A61" s="1">
        <v>168</v>
      </c>
      <c r="B61" s="169"/>
      <c r="C61" s="170"/>
      <c r="D61" s="96">
        <v>8</v>
      </c>
      <c r="E61" s="96"/>
      <c r="F61" s="96"/>
      <c r="G61" s="68" t="s">
        <v>76</v>
      </c>
      <c r="H61" s="69">
        <v>614</v>
      </c>
      <c r="I61" s="70">
        <f>'[1]MihrlineDX'!G60</f>
        <v>2</v>
      </c>
      <c r="J61" s="69">
        <v>614</v>
      </c>
      <c r="K61" s="68"/>
      <c r="L61" s="68"/>
      <c r="M61" s="68"/>
      <c r="N61" s="70">
        <v>2</v>
      </c>
      <c r="O61" s="10">
        <v>2</v>
      </c>
      <c r="P61" s="72">
        <v>8383.3</v>
      </c>
      <c r="Q61" s="72">
        <v>8198.6</v>
      </c>
      <c r="R61" s="72">
        <v>133382.2</v>
      </c>
      <c r="S61" s="72">
        <v>130666.3</v>
      </c>
      <c r="T61" s="73">
        <f t="shared" si="12"/>
        <v>5422651.45</v>
      </c>
      <c r="U61" s="76">
        <f>'[1]Annual'!R60</f>
        <v>0.56</v>
      </c>
      <c r="V61" s="72">
        <v>211131.75</v>
      </c>
      <c r="W61" s="166"/>
      <c r="X61" s="167">
        <v>5.838805272063533</v>
      </c>
      <c r="Y61" s="168">
        <f t="shared" si="16"/>
        <v>118233.78000000001</v>
      </c>
      <c r="Z61" s="72">
        <v>1232757.1749999998</v>
      </c>
      <c r="AA61" s="81">
        <v>902992.52747088</v>
      </c>
      <c r="AB61" s="81">
        <f t="shared" si="17"/>
        <v>784758.7474708799</v>
      </c>
      <c r="AC61" s="82">
        <f t="shared" si="18"/>
        <v>110.13984429913398</v>
      </c>
      <c r="AD61" s="83"/>
      <c r="AE61" s="83">
        <f t="shared" si="19"/>
        <v>4.276914900155377</v>
      </c>
      <c r="AF61" s="84">
        <f t="shared" si="14"/>
        <v>0.7324982938922097</v>
      </c>
      <c r="AG61" s="85">
        <f t="shared" si="6"/>
        <v>25.752171102383333</v>
      </c>
      <c r="AH61" s="83"/>
      <c r="AI61" s="87">
        <f t="shared" si="20"/>
        <v>3.7169149001553765</v>
      </c>
      <c r="AJ61" s="109">
        <f t="shared" si="21"/>
        <v>0.63658826197534</v>
      </c>
      <c r="AK61" s="83">
        <f t="shared" si="22"/>
        <v>95.71862848179931</v>
      </c>
      <c r="AL61" s="87">
        <f t="shared" si="23"/>
        <v>6.005823593924982</v>
      </c>
    </row>
    <row r="62" spans="1:38" ht="12.75" hidden="1">
      <c r="A62" s="1">
        <v>169</v>
      </c>
      <c r="B62" s="169"/>
      <c r="C62" s="170"/>
      <c r="D62" s="96">
        <v>8</v>
      </c>
      <c r="E62" s="96">
        <v>15</v>
      </c>
      <c r="F62" s="96"/>
      <c r="G62" s="68" t="s">
        <v>76</v>
      </c>
      <c r="H62" s="69">
        <v>1275</v>
      </c>
      <c r="I62" s="70">
        <f>'[1]MihrlineDX'!G61</f>
        <v>4</v>
      </c>
      <c r="J62" s="69">
        <v>1275</v>
      </c>
      <c r="K62" s="68"/>
      <c r="L62" s="68"/>
      <c r="M62" s="68"/>
      <c r="N62" s="70">
        <v>5</v>
      </c>
      <c r="O62" s="10">
        <v>5</v>
      </c>
      <c r="P62" s="72">
        <v>17238</v>
      </c>
      <c r="Q62" s="72">
        <v>16065</v>
      </c>
      <c r="R62" s="72">
        <v>246228</v>
      </c>
      <c r="S62" s="72">
        <v>217515</v>
      </c>
      <c r="T62" s="73">
        <f t="shared" si="12"/>
        <v>9026872.5</v>
      </c>
      <c r="U62" s="76">
        <f>'[1]Annual'!R61</f>
        <v>0.56</v>
      </c>
      <c r="V62" s="72">
        <v>521098.29545454547</v>
      </c>
      <c r="W62" s="166"/>
      <c r="X62" s="167">
        <v>6.322732580770727</v>
      </c>
      <c r="Y62" s="168">
        <f t="shared" si="16"/>
        <v>291815.04545454547</v>
      </c>
      <c r="Z62" s="72">
        <v>3294765.170454545</v>
      </c>
      <c r="AA62" s="81">
        <v>1696518.0234144</v>
      </c>
      <c r="AB62" s="81">
        <f t="shared" si="17"/>
        <v>1404702.9779598545</v>
      </c>
      <c r="AC62" s="82">
        <f t="shared" si="18"/>
        <v>105.6033628020168</v>
      </c>
      <c r="AD62" s="83"/>
      <c r="AE62" s="83">
        <f t="shared" si="19"/>
        <v>3.255658362755831</v>
      </c>
      <c r="AF62" s="84">
        <f t="shared" si="14"/>
        <v>0.5149131836853638</v>
      </c>
      <c r="AG62" s="85">
        <f t="shared" si="6"/>
        <v>32.436868686868685</v>
      </c>
      <c r="AH62" s="83"/>
      <c r="AI62" s="87">
        <f t="shared" si="20"/>
        <v>2.6956583627558315</v>
      </c>
      <c r="AJ62" s="109">
        <f t="shared" si="21"/>
        <v>0.42634388349020397</v>
      </c>
      <c r="AK62" s="83">
        <f t="shared" si="22"/>
        <v>87.43871633737034</v>
      </c>
      <c r="AL62" s="87">
        <f t="shared" si="23"/>
        <v>6.457959119876121</v>
      </c>
    </row>
    <row r="63" spans="1:38" ht="12.75" hidden="1">
      <c r="A63" s="1">
        <v>234</v>
      </c>
      <c r="B63" s="169"/>
      <c r="C63" s="170"/>
      <c r="D63" s="96">
        <v>15</v>
      </c>
      <c r="E63" s="96"/>
      <c r="F63" s="96"/>
      <c r="G63" s="68" t="s">
        <v>76</v>
      </c>
      <c r="H63" s="69">
        <v>5781</v>
      </c>
      <c r="I63" s="70">
        <f>'[1]MihrlineDX'!G80</f>
        <v>14</v>
      </c>
      <c r="J63" s="69">
        <v>5578</v>
      </c>
      <c r="K63" s="68"/>
      <c r="L63" s="68"/>
      <c r="M63" s="68"/>
      <c r="N63" s="70">
        <v>19</v>
      </c>
      <c r="O63" s="10">
        <v>18</v>
      </c>
      <c r="P63" s="72">
        <v>80412.6</v>
      </c>
      <c r="Q63" s="72">
        <v>75890</v>
      </c>
      <c r="R63" s="72">
        <v>1190663.6</v>
      </c>
      <c r="S63" s="72">
        <v>1064633.3</v>
      </c>
      <c r="T63" s="73">
        <f t="shared" si="12"/>
        <v>44182281.95</v>
      </c>
      <c r="U63" s="76">
        <f>'[1]Annual'!R80</f>
        <v>0.56</v>
      </c>
      <c r="V63" s="72">
        <v>3125555.0594525603</v>
      </c>
      <c r="W63" s="166"/>
      <c r="X63" s="167">
        <v>3.873624446763239</v>
      </c>
      <c r="Y63" s="168">
        <f t="shared" si="16"/>
        <v>1750310.833293434</v>
      </c>
      <c r="Z63" s="72">
        <v>12107226.487999966</v>
      </c>
      <c r="AA63" s="81">
        <v>8003385.126578578</v>
      </c>
      <c r="AB63" s="81">
        <f t="shared" si="17"/>
        <v>6253074.293285144</v>
      </c>
      <c r="AC63" s="82">
        <f t="shared" si="18"/>
        <v>105.46033899826826</v>
      </c>
      <c r="AD63" s="83"/>
      <c r="AE63" s="83">
        <f t="shared" si="19"/>
        <v>2.5606284241815174</v>
      </c>
      <c r="AF63" s="84">
        <f t="shared" si="14"/>
        <v>0.6610419929379453</v>
      </c>
      <c r="AG63" s="85">
        <f t="shared" si="6"/>
        <v>41.18533481950929</v>
      </c>
      <c r="AH63" s="83"/>
      <c r="AI63" s="87">
        <f t="shared" si="20"/>
        <v>2.000628424181517</v>
      </c>
      <c r="AJ63" s="109">
        <f t="shared" si="21"/>
        <v>0.516474545139042</v>
      </c>
      <c r="AK63" s="83">
        <f t="shared" si="22"/>
        <v>82.39655149934305</v>
      </c>
      <c r="AL63" s="87">
        <f t="shared" si="23"/>
        <v>5.873453604433699</v>
      </c>
    </row>
    <row r="64" spans="1:38" ht="12.75" hidden="1">
      <c r="A64" s="1">
        <v>236</v>
      </c>
      <c r="B64" s="169"/>
      <c r="C64" s="170"/>
      <c r="D64" s="96">
        <v>8</v>
      </c>
      <c r="E64" s="96"/>
      <c r="F64" s="96"/>
      <c r="G64" s="68" t="s">
        <v>76</v>
      </c>
      <c r="H64" s="69">
        <v>1379</v>
      </c>
      <c r="I64" s="70">
        <f>'[1]MihrlineDX'!G81</f>
        <v>3</v>
      </c>
      <c r="J64" s="69">
        <v>1379</v>
      </c>
      <c r="K64" s="68"/>
      <c r="L64" s="68"/>
      <c r="M64" s="68"/>
      <c r="N64" s="70">
        <v>5</v>
      </c>
      <c r="O64" s="10">
        <v>5</v>
      </c>
      <c r="P64" s="72">
        <v>17829.7</v>
      </c>
      <c r="Q64" s="72">
        <v>15676.3</v>
      </c>
      <c r="R64" s="72">
        <v>298158.4</v>
      </c>
      <c r="S64" s="72">
        <v>239208.4</v>
      </c>
      <c r="T64" s="73">
        <f t="shared" si="12"/>
        <v>9927148.6</v>
      </c>
      <c r="U64" s="76">
        <f>'[1]Annual'!R81</f>
        <v>0.56</v>
      </c>
      <c r="V64" s="72">
        <v>522574.9534883721</v>
      </c>
      <c r="W64" s="166"/>
      <c r="X64" s="167">
        <v>4.137979866068394</v>
      </c>
      <c r="Y64" s="168">
        <f t="shared" si="16"/>
        <v>292641.9739534884</v>
      </c>
      <c r="Z64" s="72">
        <v>2162404.6360465116</v>
      </c>
      <c r="AA64" s="81">
        <v>1719625.5641934907</v>
      </c>
      <c r="AB64" s="81">
        <f t="shared" si="17"/>
        <v>1426983.5902400021</v>
      </c>
      <c r="AC64" s="82">
        <f t="shared" si="18"/>
        <v>109.69588258667484</v>
      </c>
      <c r="AD64" s="83"/>
      <c r="AE64" s="83">
        <f t="shared" si="19"/>
        <v>3.2906773520513823</v>
      </c>
      <c r="AF64" s="84">
        <f t="shared" si="14"/>
        <v>0.7952376421729531</v>
      </c>
      <c r="AG64" s="85">
        <f t="shared" si="6"/>
        <v>33.33535040081984</v>
      </c>
      <c r="AH64" s="83"/>
      <c r="AI64" s="87">
        <f t="shared" si="20"/>
        <v>2.7306773520513823</v>
      </c>
      <c r="AJ64" s="109">
        <f t="shared" si="21"/>
        <v>0.6599059058849099</v>
      </c>
      <c r="AK64" s="83">
        <f t="shared" si="22"/>
        <v>91.02808636221572</v>
      </c>
      <c r="AL64" s="87">
        <f t="shared" si="23"/>
        <v>5.965440972139784</v>
      </c>
    </row>
    <row r="65" spans="1:38" ht="12.75" hidden="1">
      <c r="A65" s="1">
        <v>243</v>
      </c>
      <c r="B65" s="169"/>
      <c r="C65" s="170"/>
      <c r="D65" s="96">
        <v>8</v>
      </c>
      <c r="E65" s="96"/>
      <c r="F65" s="96"/>
      <c r="G65" s="68" t="s">
        <v>76</v>
      </c>
      <c r="H65" s="69">
        <v>2295</v>
      </c>
      <c r="I65" s="70">
        <f>'[1]MihrlineDX'!G82</f>
        <v>3</v>
      </c>
      <c r="J65" s="69">
        <v>1530</v>
      </c>
      <c r="K65" s="68"/>
      <c r="L65" s="68"/>
      <c r="M65" s="68"/>
      <c r="N65" s="70">
        <v>9</v>
      </c>
      <c r="O65" s="10">
        <v>6</v>
      </c>
      <c r="P65" s="72">
        <v>21037.5</v>
      </c>
      <c r="Q65" s="72">
        <v>18972</v>
      </c>
      <c r="R65" s="72">
        <v>306280.5</v>
      </c>
      <c r="S65" s="72">
        <v>261553.5</v>
      </c>
      <c r="T65" s="73">
        <f t="shared" si="12"/>
        <v>10854470.25</v>
      </c>
      <c r="U65" s="76">
        <f>'[1]Annual'!R82</f>
        <v>0.56</v>
      </c>
      <c r="V65" s="72">
        <v>624580</v>
      </c>
      <c r="W65" s="166"/>
      <c r="X65" s="167">
        <v>3.8217882416984215</v>
      </c>
      <c r="Y65" s="168">
        <f t="shared" si="16"/>
        <v>349764.80000000005</v>
      </c>
      <c r="Z65" s="72">
        <v>2387012.5</v>
      </c>
      <c r="AA65" s="81">
        <v>2097673.1794304</v>
      </c>
      <c r="AB65" s="81">
        <f t="shared" si="17"/>
        <v>1747908.3794304</v>
      </c>
      <c r="AC65" s="82">
        <f t="shared" si="18"/>
        <v>110.56679208467214</v>
      </c>
      <c r="AD65" s="83"/>
      <c r="AE65" s="83">
        <f t="shared" si="19"/>
        <v>3.3585340219513915</v>
      </c>
      <c r="AF65" s="84">
        <f t="shared" si="14"/>
        <v>0.878786005280827</v>
      </c>
      <c r="AG65" s="85">
        <f t="shared" si="6"/>
        <v>32.92114695340502</v>
      </c>
      <c r="AH65" s="83"/>
      <c r="AI65" s="87">
        <f t="shared" si="20"/>
        <v>2.7985340219513914</v>
      </c>
      <c r="AJ65" s="109">
        <f t="shared" si="21"/>
        <v>0.7322577403471494</v>
      </c>
      <c r="AK65" s="83">
        <f t="shared" si="22"/>
        <v>92.13094979076534</v>
      </c>
      <c r="AL65" s="87">
        <f t="shared" si="23"/>
        <v>6.682794837118983</v>
      </c>
    </row>
    <row r="66" spans="1:38" ht="12.75" hidden="1">
      <c r="A66" s="1">
        <v>245</v>
      </c>
      <c r="B66" s="169"/>
      <c r="C66" s="170"/>
      <c r="D66" s="96">
        <v>8</v>
      </c>
      <c r="E66" s="96"/>
      <c r="F66" s="96"/>
      <c r="G66" s="68" t="s">
        <v>76</v>
      </c>
      <c r="H66" s="69">
        <v>1228</v>
      </c>
      <c r="I66" s="70">
        <f>'[1]MihrlineDX'!G83</f>
        <v>3</v>
      </c>
      <c r="J66" s="69">
        <v>1228</v>
      </c>
      <c r="K66" s="68"/>
      <c r="L66" s="68"/>
      <c r="M66" s="68"/>
      <c r="N66" s="70">
        <v>4</v>
      </c>
      <c r="O66" s="10">
        <v>4</v>
      </c>
      <c r="P66" s="72">
        <v>16607.5</v>
      </c>
      <c r="Q66" s="72">
        <v>15587</v>
      </c>
      <c r="R66" s="72">
        <v>261632.4</v>
      </c>
      <c r="S66" s="72">
        <v>242933.9</v>
      </c>
      <c r="T66" s="73">
        <f t="shared" si="12"/>
        <v>10081756.85</v>
      </c>
      <c r="U66" s="76">
        <f>'[1]Annual'!R83</f>
        <v>0.56</v>
      </c>
      <c r="V66" s="72">
        <v>532304.1233766233</v>
      </c>
      <c r="W66" s="166"/>
      <c r="X66" s="167">
        <v>3.9762687923271427</v>
      </c>
      <c r="Y66" s="168">
        <f t="shared" si="16"/>
        <v>298090.3090909091</v>
      </c>
      <c r="Z66" s="72">
        <v>2116584.2738095243</v>
      </c>
      <c r="AA66" s="81">
        <v>1746336.391101882</v>
      </c>
      <c r="AB66" s="81">
        <f t="shared" si="17"/>
        <v>1448246.082010973</v>
      </c>
      <c r="AC66" s="82">
        <f t="shared" si="18"/>
        <v>112.03800545979868</v>
      </c>
      <c r="AD66" s="83"/>
      <c r="AE66" s="83">
        <f t="shared" si="19"/>
        <v>3.2807117480589</v>
      </c>
      <c r="AF66" s="84">
        <f t="shared" si="14"/>
        <v>0.8250729312841141</v>
      </c>
      <c r="AG66" s="85">
        <f t="shared" si="6"/>
        <v>34.15051795577233</v>
      </c>
      <c r="AH66" s="83"/>
      <c r="AI66" s="87">
        <f t="shared" si="20"/>
        <v>2.7207117480589</v>
      </c>
      <c r="AJ66" s="109">
        <f t="shared" si="21"/>
        <v>0.6842373818663757</v>
      </c>
      <c r="AK66" s="83">
        <f t="shared" si="22"/>
        <v>92.91371540456618</v>
      </c>
      <c r="AL66" s="87">
        <f t="shared" si="23"/>
        <v>5.961482041044799</v>
      </c>
    </row>
    <row r="67" spans="1:38" ht="12.75" hidden="1">
      <c r="A67" s="1">
        <v>418</v>
      </c>
      <c r="B67" s="169"/>
      <c r="C67" s="170"/>
      <c r="D67" s="96">
        <v>8</v>
      </c>
      <c r="E67" s="96"/>
      <c r="F67" s="96"/>
      <c r="G67" s="68" t="s">
        <v>76</v>
      </c>
      <c r="H67" s="69">
        <v>2040</v>
      </c>
      <c r="I67" s="70"/>
      <c r="J67" s="69">
        <v>2040</v>
      </c>
      <c r="K67" s="68"/>
      <c r="L67" s="68"/>
      <c r="M67" s="68"/>
      <c r="N67" s="70">
        <v>8</v>
      </c>
      <c r="O67" s="10">
        <v>8</v>
      </c>
      <c r="P67" s="72">
        <v>14764.5</v>
      </c>
      <c r="Q67" s="72">
        <v>12036</v>
      </c>
      <c r="R67" s="72">
        <v>317883</v>
      </c>
      <c r="S67" s="72">
        <v>241357.5</v>
      </c>
      <c r="T67" s="73">
        <f t="shared" si="12"/>
        <v>10016336.25</v>
      </c>
      <c r="U67" s="76">
        <f>'[1]Annual'!R96</f>
        <v>0.6</v>
      </c>
      <c r="V67" s="72">
        <v>414836.26666666666</v>
      </c>
      <c r="W67" s="166"/>
      <c r="X67" s="167">
        <v>9.143115356034446</v>
      </c>
      <c r="Y67" s="168">
        <f t="shared" si="16"/>
        <v>248901.75999999998</v>
      </c>
      <c r="Z67" s="72">
        <v>3792895.84</v>
      </c>
      <c r="AA67" s="81">
        <v>1579794.73636336</v>
      </c>
      <c r="AB67" s="81">
        <f t="shared" si="17"/>
        <v>1330892.97636336</v>
      </c>
      <c r="AC67" s="82">
        <f t="shared" si="18"/>
        <v>131.25579398166832</v>
      </c>
      <c r="AD67" s="83"/>
      <c r="AE67" s="83">
        <f t="shared" si="19"/>
        <v>3.808236799201484</v>
      </c>
      <c r="AF67" s="84">
        <f t="shared" si="14"/>
        <v>0.4165141366928125</v>
      </c>
      <c r="AG67" s="85">
        <f t="shared" si="6"/>
        <v>34.46629001883239</v>
      </c>
      <c r="AH67" s="83"/>
      <c r="AI67" s="87">
        <f t="shared" si="20"/>
        <v>3.208236799201484</v>
      </c>
      <c r="AJ67" s="109">
        <f t="shared" si="21"/>
        <v>0.3508909900260694</v>
      </c>
      <c r="AK67" s="83">
        <f t="shared" si="22"/>
        <v>110.57601997036889</v>
      </c>
      <c r="AL67" s="87">
        <f t="shared" si="23"/>
        <v>5.5141977206565365</v>
      </c>
    </row>
    <row r="68" spans="1:38" ht="12.75" hidden="1">
      <c r="A68" s="1">
        <v>426</v>
      </c>
      <c r="B68" s="169"/>
      <c r="C68" s="170"/>
      <c r="D68" s="96">
        <v>8</v>
      </c>
      <c r="E68" s="96"/>
      <c r="F68" s="96"/>
      <c r="G68" s="68" t="s">
        <v>76</v>
      </c>
      <c r="H68" s="69">
        <v>2040</v>
      </c>
      <c r="I68" s="70"/>
      <c r="J68" s="69">
        <v>2040</v>
      </c>
      <c r="K68" s="68"/>
      <c r="L68" s="68"/>
      <c r="M68" s="68"/>
      <c r="N68" s="70">
        <v>8</v>
      </c>
      <c r="O68" s="10">
        <v>8</v>
      </c>
      <c r="P68" s="72">
        <v>14025</v>
      </c>
      <c r="Q68" s="72">
        <v>13260</v>
      </c>
      <c r="R68" s="72">
        <v>250971</v>
      </c>
      <c r="S68" s="72">
        <v>232764</v>
      </c>
      <c r="T68" s="73">
        <f t="shared" si="12"/>
        <v>9659706</v>
      </c>
      <c r="U68" s="76">
        <f>'[1]Annual'!R97</f>
        <v>0.74</v>
      </c>
      <c r="V68" s="72">
        <v>506063.72727272724</v>
      </c>
      <c r="W68" s="166"/>
      <c r="X68" s="167">
        <v>6.957620177552199</v>
      </c>
      <c r="Y68" s="168">
        <f t="shared" si="16"/>
        <v>374487.15818181814</v>
      </c>
      <c r="Z68" s="72">
        <v>3520999.2</v>
      </c>
      <c r="AA68" s="81">
        <v>1624162.38566048</v>
      </c>
      <c r="AB68" s="81">
        <f t="shared" si="17"/>
        <v>1249675.2274786618</v>
      </c>
      <c r="AC68" s="82">
        <f t="shared" si="18"/>
        <v>122.48585110561689</v>
      </c>
      <c r="AD68" s="83"/>
      <c r="AE68" s="83">
        <f t="shared" si="19"/>
        <v>3.2094028837304682</v>
      </c>
      <c r="AF68" s="84">
        <f t="shared" si="14"/>
        <v>0.46127882836794737</v>
      </c>
      <c r="AG68" s="85">
        <f t="shared" si="6"/>
        <v>38.164685314685315</v>
      </c>
      <c r="AH68" s="83"/>
      <c r="AI68" s="87">
        <f t="shared" si="20"/>
        <v>2.469402883730468</v>
      </c>
      <c r="AJ68" s="109">
        <f t="shared" si="21"/>
        <v>0.35492062238431116</v>
      </c>
      <c r="AK68" s="83">
        <f t="shared" si="22"/>
        <v>94.24398397274976</v>
      </c>
      <c r="AL68" s="87">
        <f t="shared" si="23"/>
        <v>5.36885097127847</v>
      </c>
    </row>
    <row r="69" spans="1:38" ht="12.75" hidden="1">
      <c r="A69" s="1">
        <v>561</v>
      </c>
      <c r="B69" s="169"/>
      <c r="C69" s="170"/>
      <c r="D69" s="96">
        <v>15</v>
      </c>
      <c r="E69" s="96"/>
      <c r="F69" s="96"/>
      <c r="G69" s="68" t="s">
        <v>76</v>
      </c>
      <c r="H69" s="69">
        <v>8648</v>
      </c>
      <c r="I69" s="70">
        <f>'[1]MihrlineDX'!G111</f>
        <v>21</v>
      </c>
      <c r="J69" s="69">
        <v>9824</v>
      </c>
      <c r="K69" s="68"/>
      <c r="L69" s="68"/>
      <c r="M69" s="68"/>
      <c r="N69" s="70">
        <v>28</v>
      </c>
      <c r="O69" s="10">
        <v>32</v>
      </c>
      <c r="P69" s="72">
        <v>123625.2</v>
      </c>
      <c r="Q69" s="72">
        <v>115216.7</v>
      </c>
      <c r="R69" s="72">
        <v>1765145.4</v>
      </c>
      <c r="S69" s="72">
        <v>1506381.2</v>
      </c>
      <c r="T69" s="73">
        <f t="shared" si="12"/>
        <v>62514819.8</v>
      </c>
      <c r="U69" s="76">
        <f>'[1]Annual'!R111</f>
        <v>0.58</v>
      </c>
      <c r="V69" s="72">
        <v>5718911.827782055</v>
      </c>
      <c r="W69" s="166"/>
      <c r="X69" s="167">
        <v>4.540037730866041</v>
      </c>
      <c r="Y69" s="168">
        <f t="shared" si="16"/>
        <v>3316968.860113592</v>
      </c>
      <c r="Z69" s="72">
        <v>25964075.477626607</v>
      </c>
      <c r="AA69" s="81">
        <v>11881141.434993187</v>
      </c>
      <c r="AB69" s="81">
        <f t="shared" si="17"/>
        <v>8564172.574879594</v>
      </c>
      <c r="AC69" s="82">
        <f t="shared" si="18"/>
        <v>103.1199594763015</v>
      </c>
      <c r="AD69" s="83"/>
      <c r="AE69" s="83">
        <f t="shared" si="19"/>
        <v>2.077517855280697</v>
      </c>
      <c r="AF69" s="84">
        <f t="shared" si="14"/>
        <v>0.4575992488248324</v>
      </c>
      <c r="AG69" s="85">
        <f t="shared" si="6"/>
        <v>49.63613632209615</v>
      </c>
      <c r="AH69" s="83"/>
      <c r="AI69" s="87">
        <f t="shared" si="20"/>
        <v>1.497517855280697</v>
      </c>
      <c r="AJ69" s="109">
        <f t="shared" si="21"/>
        <v>0.32984700657873955</v>
      </c>
      <c r="AK69" s="83">
        <f t="shared" si="22"/>
        <v>74.33100040948572</v>
      </c>
      <c r="AL69" s="87">
        <f t="shared" si="23"/>
        <v>5.685262518464512</v>
      </c>
    </row>
    <row r="70" spans="1:38" ht="12.75" hidden="1">
      <c r="A70" s="1">
        <v>750</v>
      </c>
      <c r="B70" s="169"/>
      <c r="C70" s="170"/>
      <c r="D70" s="96">
        <v>8</v>
      </c>
      <c r="E70" s="96"/>
      <c r="F70" s="96"/>
      <c r="G70" s="68" t="s">
        <v>76</v>
      </c>
      <c r="H70" s="69">
        <v>6291</v>
      </c>
      <c r="I70" s="70">
        <f>'[1]MihrlineDX'!G116</f>
        <v>11</v>
      </c>
      <c r="J70" s="69">
        <v>5734</v>
      </c>
      <c r="K70" s="68"/>
      <c r="L70" s="68"/>
      <c r="M70" s="68"/>
      <c r="N70" s="70">
        <v>21</v>
      </c>
      <c r="O70" s="10">
        <v>18</v>
      </c>
      <c r="P70" s="72">
        <v>75768.5</v>
      </c>
      <c r="Q70" s="72">
        <v>69998.2</v>
      </c>
      <c r="R70" s="72">
        <v>1274992</v>
      </c>
      <c r="S70" s="72">
        <v>1123966.9</v>
      </c>
      <c r="T70" s="73">
        <f t="shared" si="12"/>
        <v>46644626.349999994</v>
      </c>
      <c r="U70" s="76">
        <f>'[1]Annual'!R116</f>
        <v>0.56</v>
      </c>
      <c r="V70" s="72">
        <v>2994836.585822354</v>
      </c>
      <c r="W70" s="166"/>
      <c r="X70" s="167">
        <v>7.21050852684593</v>
      </c>
      <c r="Y70" s="168">
        <f t="shared" si="16"/>
        <v>1677108.4880605184</v>
      </c>
      <c r="Z70" s="72">
        <v>21594294.73858224</v>
      </c>
      <c r="AA70" s="81">
        <v>7826742.229406364</v>
      </c>
      <c r="AB70" s="81">
        <f t="shared" si="17"/>
        <v>6149633.741345846</v>
      </c>
      <c r="AC70" s="82">
        <f aca="true" t="shared" si="24" ref="AC70:AC101">AA70/Q70</f>
        <v>111.81347848096615</v>
      </c>
      <c r="AD70" s="83"/>
      <c r="AE70" s="83">
        <f aca="true" t="shared" si="25" ref="AE70:AE101">AA70/V70</f>
        <v>2.6134121195321294</v>
      </c>
      <c r="AF70" s="84">
        <f t="shared" si="14"/>
        <v>0.3624449107579526</v>
      </c>
      <c r="AG70" s="85">
        <f aca="true" t="shared" si="26" ref="AG70:AG116">V70/Q70</f>
        <v>42.78447996980428</v>
      </c>
      <c r="AH70" s="83"/>
      <c r="AI70" s="87">
        <f aca="true" t="shared" si="27" ref="AI70:AI101">AB70/V70</f>
        <v>2.0534121195321293</v>
      </c>
      <c r="AJ70" s="109">
        <f aca="true" t="shared" si="28" ref="AJ70:AJ101">AB70/Z70</f>
        <v>0.2847804855769787</v>
      </c>
      <c r="AK70" s="83">
        <f aca="true" t="shared" si="29" ref="AK70:AK101">AB70/Q70</f>
        <v>87.85416969787575</v>
      </c>
      <c r="AL70" s="87">
        <f aca="true" t="shared" si="30" ref="AL70:AL101">AB70/S70</f>
        <v>5.471365519167732</v>
      </c>
    </row>
    <row r="71" spans="1:38" ht="12.75" hidden="1">
      <c r="A71" s="70">
        <v>40</v>
      </c>
      <c r="B71" s="164"/>
      <c r="C71" s="165"/>
      <c r="D71" s="66">
        <v>10</v>
      </c>
      <c r="E71" s="66">
        <v>18</v>
      </c>
      <c r="F71" s="66"/>
      <c r="G71" s="68" t="s">
        <v>77</v>
      </c>
      <c r="H71" s="69">
        <v>12124</v>
      </c>
      <c r="I71" s="70">
        <f>'[1]MihrlineDX'!G21</f>
        <v>21</v>
      </c>
      <c r="J71" s="69">
        <v>13050</v>
      </c>
      <c r="K71" s="68"/>
      <c r="L71" s="68"/>
      <c r="M71" s="68"/>
      <c r="N71" s="70">
        <v>40</v>
      </c>
      <c r="O71" s="10">
        <v>42</v>
      </c>
      <c r="P71" s="72">
        <v>158376.9</v>
      </c>
      <c r="Q71" s="72">
        <v>143329.7</v>
      </c>
      <c r="R71" s="72">
        <v>2034345.1</v>
      </c>
      <c r="S71" s="72">
        <v>1618792.5</v>
      </c>
      <c r="T71" s="73">
        <f aca="true" t="shared" si="31" ref="T71:T116">S71*41.5</f>
        <v>67179888.75</v>
      </c>
      <c r="U71" s="76">
        <f>'[1]Annual'!R21</f>
        <v>0.56</v>
      </c>
      <c r="V71" s="72">
        <v>8732669.629044728</v>
      </c>
      <c r="W71" s="166"/>
      <c r="X71" s="167">
        <v>4.0222521113908725</v>
      </c>
      <c r="Y71" s="168">
        <f t="shared" si="16"/>
        <v>4890294.992265048</v>
      </c>
      <c r="Z71" s="72">
        <v>35124998.85350411</v>
      </c>
      <c r="AA71" s="81">
        <v>14049754.447164798</v>
      </c>
      <c r="AB71" s="81">
        <f t="shared" si="17"/>
        <v>9159459.45489975</v>
      </c>
      <c r="AC71" s="82">
        <f t="shared" si="24"/>
        <v>98.02402744975254</v>
      </c>
      <c r="AD71" s="83"/>
      <c r="AE71" s="83">
        <f t="shared" si="25"/>
        <v>1.6088727781978063</v>
      </c>
      <c r="AF71" s="84">
        <f aca="true" t="shared" si="32" ref="AF71:AF116">AA71/Z71</f>
        <v>0.3999930222279048</v>
      </c>
      <c r="AG71" s="85">
        <f t="shared" si="26"/>
        <v>60.92714649542089</v>
      </c>
      <c r="AH71" s="83"/>
      <c r="AI71" s="87">
        <f t="shared" si="27"/>
        <v>1.0488727781978062</v>
      </c>
      <c r="AJ71" s="109">
        <f t="shared" si="28"/>
        <v>0.26076753747668785</v>
      </c>
      <c r="AK71" s="83">
        <f t="shared" si="29"/>
        <v>63.904825412316846</v>
      </c>
      <c r="AL71" s="87">
        <f t="shared" si="30"/>
        <v>5.658204776028892</v>
      </c>
    </row>
    <row r="72" spans="1:38" ht="12.75" hidden="1">
      <c r="A72" s="70">
        <v>42</v>
      </c>
      <c r="B72" s="164"/>
      <c r="C72" s="165"/>
      <c r="D72" s="66">
        <v>10</v>
      </c>
      <c r="E72" s="66">
        <v>18</v>
      </c>
      <c r="F72" s="66"/>
      <c r="G72" s="68" t="s">
        <v>77</v>
      </c>
      <c r="H72" s="69">
        <v>2508</v>
      </c>
      <c r="I72" s="70">
        <f>'[1]MihrlineDX'!G22</f>
        <v>6</v>
      </c>
      <c r="J72" s="69">
        <v>2253</v>
      </c>
      <c r="K72" s="68"/>
      <c r="L72" s="68"/>
      <c r="M72" s="68"/>
      <c r="N72" s="70">
        <v>8</v>
      </c>
      <c r="O72" s="10">
        <v>7</v>
      </c>
      <c r="P72" s="72">
        <v>33625.3</v>
      </c>
      <c r="Q72" s="72">
        <v>31326.9</v>
      </c>
      <c r="R72" s="72">
        <v>395854.9</v>
      </c>
      <c r="S72" s="72">
        <v>333745.9</v>
      </c>
      <c r="T72" s="73">
        <f t="shared" si="31"/>
        <v>13850454.850000001</v>
      </c>
      <c r="U72" s="76">
        <f>'[1]Annual'!R22</f>
        <v>0.56</v>
      </c>
      <c r="V72" s="72">
        <v>1278330.5588235294</v>
      </c>
      <c r="W72" s="166"/>
      <c r="X72" s="167">
        <v>3.8001610429908363</v>
      </c>
      <c r="Y72" s="168">
        <f t="shared" si="16"/>
        <v>715865.1129411765</v>
      </c>
      <c r="Z72" s="72">
        <v>4857861.989705882</v>
      </c>
      <c r="AA72" s="81">
        <v>2961988.394054611</v>
      </c>
      <c r="AB72" s="81">
        <f t="shared" si="17"/>
        <v>2246123.2811134346</v>
      </c>
      <c r="AC72" s="82">
        <f t="shared" si="24"/>
        <v>94.55095761325286</v>
      </c>
      <c r="AD72" s="83"/>
      <c r="AE72" s="83">
        <f t="shared" si="25"/>
        <v>2.3170754806805074</v>
      </c>
      <c r="AF72" s="84">
        <f t="shared" si="32"/>
        <v>0.6097308652100971</v>
      </c>
      <c r="AG72" s="85">
        <f t="shared" si="26"/>
        <v>40.80616207870965</v>
      </c>
      <c r="AH72" s="83"/>
      <c r="AI72" s="87">
        <f t="shared" si="27"/>
        <v>1.7570754806805073</v>
      </c>
      <c r="AJ72" s="109">
        <f t="shared" si="28"/>
        <v>0.4623686893273445</v>
      </c>
      <c r="AK72" s="83">
        <f t="shared" si="29"/>
        <v>71.69950684917545</v>
      </c>
      <c r="AL72" s="87">
        <f t="shared" si="30"/>
        <v>6.73004007274227</v>
      </c>
    </row>
    <row r="73" spans="1:38" ht="12.75" hidden="1">
      <c r="A73" s="70">
        <v>107</v>
      </c>
      <c r="B73" s="164"/>
      <c r="C73" s="165"/>
      <c r="D73" s="66">
        <v>5</v>
      </c>
      <c r="E73" s="66"/>
      <c r="F73" s="66"/>
      <c r="G73" s="68" t="s">
        <v>77</v>
      </c>
      <c r="H73" s="69">
        <v>1332</v>
      </c>
      <c r="I73" s="70">
        <f>'[1]MihrlineDX'!G40</f>
        <v>4</v>
      </c>
      <c r="J73" s="69">
        <v>1332</v>
      </c>
      <c r="K73" s="68"/>
      <c r="L73" s="68"/>
      <c r="M73" s="68"/>
      <c r="N73" s="70">
        <v>4</v>
      </c>
      <c r="O73" s="10">
        <v>4</v>
      </c>
      <c r="P73" s="72">
        <v>23175</v>
      </c>
      <c r="Q73" s="72">
        <v>22478.5</v>
      </c>
      <c r="R73" s="72">
        <v>282681.5</v>
      </c>
      <c r="S73" s="72">
        <v>269649</v>
      </c>
      <c r="T73" s="73">
        <f t="shared" si="31"/>
        <v>11190433.5</v>
      </c>
      <c r="U73" s="76">
        <f>'[1]Annual'!R40</f>
        <v>0.56</v>
      </c>
      <c r="V73" s="72">
        <v>662607.8385093169</v>
      </c>
      <c r="W73" s="166"/>
      <c r="X73" s="167">
        <v>3.5333555315247773</v>
      </c>
      <c r="Y73" s="168">
        <f t="shared" si="16"/>
        <v>371060.3895652175</v>
      </c>
      <c r="Z73" s="72">
        <v>2341229.0714285714</v>
      </c>
      <c r="AA73" s="81">
        <v>2178504.932234989</v>
      </c>
      <c r="AB73" s="81">
        <f t="shared" si="17"/>
        <v>1807444.5426697715</v>
      </c>
      <c r="AC73" s="82">
        <f t="shared" si="24"/>
        <v>96.91504914629486</v>
      </c>
      <c r="AD73" s="83"/>
      <c r="AE73" s="83">
        <f t="shared" si="25"/>
        <v>3.2877741638795253</v>
      </c>
      <c r="AF73" s="84">
        <f t="shared" si="32"/>
        <v>0.9304962760033167</v>
      </c>
      <c r="AG73" s="85">
        <f t="shared" si="26"/>
        <v>29.47740456477598</v>
      </c>
      <c r="AH73" s="83"/>
      <c r="AI73" s="87">
        <f t="shared" si="27"/>
        <v>2.727774163879525</v>
      </c>
      <c r="AJ73" s="109">
        <f t="shared" si="28"/>
        <v>0.7720067056774179</v>
      </c>
      <c r="AK73" s="83">
        <f t="shared" si="29"/>
        <v>80.4077025900203</v>
      </c>
      <c r="AL73" s="87">
        <f t="shared" si="30"/>
        <v>6.702952885676459</v>
      </c>
    </row>
    <row r="74" spans="1:38" ht="12.75" hidden="1">
      <c r="A74" s="70">
        <v>108</v>
      </c>
      <c r="B74" s="164"/>
      <c r="C74" s="165"/>
      <c r="D74" s="66">
        <v>5</v>
      </c>
      <c r="E74" s="66"/>
      <c r="F74" s="66"/>
      <c r="G74" s="68" t="s">
        <v>77</v>
      </c>
      <c r="H74" s="69">
        <v>7056</v>
      </c>
      <c r="I74" s="70">
        <f>'[1]MihrlineDX'!G41</f>
        <v>15</v>
      </c>
      <c r="J74" s="69">
        <v>7368</v>
      </c>
      <c r="K74" s="68"/>
      <c r="L74" s="68"/>
      <c r="M74" s="68"/>
      <c r="N74" s="70">
        <v>24</v>
      </c>
      <c r="O74" s="10">
        <v>24</v>
      </c>
      <c r="P74" s="72">
        <v>91600.8</v>
      </c>
      <c r="Q74" s="72">
        <v>83553.9</v>
      </c>
      <c r="R74" s="72">
        <v>1185544</v>
      </c>
      <c r="S74" s="72">
        <v>1018965.3</v>
      </c>
      <c r="T74" s="73">
        <f t="shared" si="31"/>
        <v>42287059.95</v>
      </c>
      <c r="U74" s="76">
        <f>'[1]Annual'!R41</f>
        <v>0.56</v>
      </c>
      <c r="V74" s="72">
        <v>5027356.091048623</v>
      </c>
      <c r="W74" s="166"/>
      <c r="X74" s="167">
        <v>3.9165188122273586</v>
      </c>
      <c r="Y74" s="168">
        <f t="shared" si="16"/>
        <v>2815319.4109872296</v>
      </c>
      <c r="Z74" s="72">
        <v>19689734.706357732</v>
      </c>
      <c r="AA74" s="81">
        <v>8380152.796671465</v>
      </c>
      <c r="AB74" s="81">
        <f t="shared" si="17"/>
        <v>5564833.385684235</v>
      </c>
      <c r="AC74" s="82">
        <f t="shared" si="24"/>
        <v>100.29636913024366</v>
      </c>
      <c r="AD74" s="83"/>
      <c r="AE74" s="83">
        <f t="shared" si="25"/>
        <v>1.666910528098976</v>
      </c>
      <c r="AF74" s="84">
        <f t="shared" si="32"/>
        <v>0.4256102442033182</v>
      </c>
      <c r="AG74" s="85">
        <f t="shared" si="26"/>
        <v>60.16901773643868</v>
      </c>
      <c r="AH74" s="83"/>
      <c r="AI74" s="87">
        <f t="shared" si="27"/>
        <v>1.106910528098976</v>
      </c>
      <c r="AJ74" s="109">
        <f t="shared" si="28"/>
        <v>0.28262612313853946</v>
      </c>
      <c r="AK74" s="83">
        <f t="shared" si="29"/>
        <v>66.601719197838</v>
      </c>
      <c r="AL74" s="87">
        <f t="shared" si="30"/>
        <v>5.461258970922989</v>
      </c>
    </row>
    <row r="75" spans="1:38" ht="12.75" hidden="1">
      <c r="A75" s="70">
        <v>110</v>
      </c>
      <c r="B75" s="164"/>
      <c r="C75" s="165"/>
      <c r="D75" s="66">
        <v>5</v>
      </c>
      <c r="E75" s="66"/>
      <c r="F75" s="66"/>
      <c r="G75" s="68" t="s">
        <v>77</v>
      </c>
      <c r="H75" s="69">
        <v>4704</v>
      </c>
      <c r="I75" s="70">
        <f>'[1]MihrlineDX'!G42</f>
        <v>9</v>
      </c>
      <c r="J75" s="69">
        <v>6645</v>
      </c>
      <c r="K75" s="68"/>
      <c r="L75" s="68"/>
      <c r="M75" s="68"/>
      <c r="N75" s="70">
        <v>16</v>
      </c>
      <c r="O75" s="10">
        <v>23</v>
      </c>
      <c r="P75" s="72">
        <v>68545.2</v>
      </c>
      <c r="Q75" s="72">
        <v>60570.6</v>
      </c>
      <c r="R75" s="72">
        <v>871964</v>
      </c>
      <c r="S75" s="72">
        <v>732558.6</v>
      </c>
      <c r="T75" s="73">
        <f t="shared" si="31"/>
        <v>30401181.9</v>
      </c>
      <c r="U75" s="76">
        <f>'[1]Annual'!R42</f>
        <v>0.56</v>
      </c>
      <c r="V75" s="72">
        <v>3266711.396491228</v>
      </c>
      <c r="W75" s="166"/>
      <c r="X75" s="167">
        <v>3.615109111266432</v>
      </c>
      <c r="Y75" s="168">
        <f t="shared" si="16"/>
        <v>1829358.382035088</v>
      </c>
      <c r="Z75" s="72">
        <v>11809518.13333333</v>
      </c>
      <c r="AA75" s="81">
        <v>6091125.531972304</v>
      </c>
      <c r="AB75" s="81">
        <f t="shared" si="17"/>
        <v>4261767.149937216</v>
      </c>
      <c r="AC75" s="82">
        <f t="shared" si="24"/>
        <v>100.5624103438352</v>
      </c>
      <c r="AD75" s="83"/>
      <c r="AE75" s="83">
        <f t="shared" si="25"/>
        <v>1.8646047332233808</v>
      </c>
      <c r="AF75" s="84">
        <f t="shared" si="32"/>
        <v>0.5157810389214447</v>
      </c>
      <c r="AG75" s="85">
        <f t="shared" si="26"/>
        <v>53.932293827223575</v>
      </c>
      <c r="AH75" s="83"/>
      <c r="AI75" s="87">
        <f t="shared" si="27"/>
        <v>1.3046047332233808</v>
      </c>
      <c r="AJ75" s="109">
        <f t="shared" si="28"/>
        <v>0.360875617601029</v>
      </c>
      <c r="AK75" s="83">
        <f t="shared" si="29"/>
        <v>70.36032580058999</v>
      </c>
      <c r="AL75" s="87">
        <f t="shared" si="30"/>
        <v>5.81764673834587</v>
      </c>
    </row>
    <row r="76" spans="1:38" ht="12.75" hidden="1">
      <c r="A76" s="1">
        <v>111</v>
      </c>
      <c r="B76" s="169"/>
      <c r="C76" s="170"/>
      <c r="D76" s="96">
        <v>5</v>
      </c>
      <c r="E76" s="96"/>
      <c r="F76" s="96"/>
      <c r="G76" s="68" t="s">
        <v>77</v>
      </c>
      <c r="H76" s="69">
        <v>7316</v>
      </c>
      <c r="I76" s="70">
        <f>'[1]MihrlineDX'!G43</f>
        <v>16</v>
      </c>
      <c r="J76" s="69">
        <v>8195</v>
      </c>
      <c r="K76" s="68"/>
      <c r="L76" s="68"/>
      <c r="M76" s="68"/>
      <c r="N76" s="70">
        <v>24</v>
      </c>
      <c r="O76" s="10">
        <v>25</v>
      </c>
      <c r="P76" s="72">
        <v>110349</v>
      </c>
      <c r="Q76" s="72">
        <v>100656.8</v>
      </c>
      <c r="R76" s="72">
        <v>1484798.9</v>
      </c>
      <c r="S76" s="72">
        <v>1229305.4</v>
      </c>
      <c r="T76" s="73">
        <f t="shared" si="31"/>
        <v>51016174.099999994</v>
      </c>
      <c r="U76" s="76">
        <f>'[1]Annual'!R43</f>
        <v>0.56</v>
      </c>
      <c r="V76" s="72">
        <v>7208274.985277098</v>
      </c>
      <c r="W76" s="166"/>
      <c r="X76" s="167">
        <v>3.270203428934299</v>
      </c>
      <c r="Y76" s="168">
        <f t="shared" si="16"/>
        <v>4036633.991755175</v>
      </c>
      <c r="Z76" s="72">
        <v>23572525.5735545</v>
      </c>
      <c r="AA76" s="81">
        <v>9987264.991851179</v>
      </c>
      <c r="AB76" s="81">
        <f t="shared" si="17"/>
        <v>5950631.000096004</v>
      </c>
      <c r="AC76" s="82">
        <f t="shared" si="24"/>
        <v>99.2209666098185</v>
      </c>
      <c r="AD76" s="83"/>
      <c r="AE76" s="83">
        <f t="shared" si="25"/>
        <v>1.385527745854614</v>
      </c>
      <c r="AF76" s="84">
        <f t="shared" si="32"/>
        <v>0.4236824332075674</v>
      </c>
      <c r="AG76" s="85">
        <f t="shared" si="26"/>
        <v>71.61239961211858</v>
      </c>
      <c r="AH76" s="83"/>
      <c r="AI76" s="87">
        <f t="shared" si="27"/>
        <v>0.8255277458546142</v>
      </c>
      <c r="AJ76" s="109">
        <f t="shared" si="28"/>
        <v>0.2524392637321767</v>
      </c>
      <c r="AK76" s="83">
        <f t="shared" si="29"/>
        <v>59.1180228270321</v>
      </c>
      <c r="AL76" s="87">
        <f t="shared" si="30"/>
        <v>4.84064496918016</v>
      </c>
    </row>
    <row r="77" spans="1:38" ht="12.75" hidden="1">
      <c r="A77" s="1">
        <v>112</v>
      </c>
      <c r="B77" s="169"/>
      <c r="C77" s="170"/>
      <c r="D77" s="96">
        <v>5</v>
      </c>
      <c r="E77" s="96"/>
      <c r="F77" s="96"/>
      <c r="G77" s="68" t="s">
        <v>77</v>
      </c>
      <c r="H77" s="69">
        <v>359</v>
      </c>
      <c r="I77" s="70">
        <f>'[1]MihrlineDX'!G44</f>
        <v>1</v>
      </c>
      <c r="J77" s="69">
        <v>359</v>
      </c>
      <c r="K77" s="68"/>
      <c r="L77" s="68"/>
      <c r="M77" s="68"/>
      <c r="N77" s="70">
        <v>1</v>
      </c>
      <c r="O77" s="10">
        <v>1</v>
      </c>
      <c r="P77" s="72">
        <v>6349.8</v>
      </c>
      <c r="Q77" s="72">
        <v>6125</v>
      </c>
      <c r="R77" s="72">
        <v>72907</v>
      </c>
      <c r="S77" s="72">
        <v>70133</v>
      </c>
      <c r="T77" s="73">
        <f t="shared" si="31"/>
        <v>2910519.5</v>
      </c>
      <c r="U77" s="76">
        <f>'[1]Annual'!R44</f>
        <v>0.56</v>
      </c>
      <c r="V77" s="72">
        <v>167322.22826086957</v>
      </c>
      <c r="W77" s="166"/>
      <c r="X77" s="167">
        <v>2.279910067712079</v>
      </c>
      <c r="Y77" s="168">
        <f t="shared" si="16"/>
        <v>93700.44782608697</v>
      </c>
      <c r="Z77" s="72">
        <v>381479.63276397507</v>
      </c>
      <c r="AA77" s="81">
        <v>581537.9888944905</v>
      </c>
      <c r="AB77" s="81">
        <f t="shared" si="17"/>
        <v>487837.5410684036</v>
      </c>
      <c r="AC77" s="82">
        <f t="shared" si="24"/>
        <v>94.94497777869233</v>
      </c>
      <c r="AD77" s="83"/>
      <c r="AE77" s="83">
        <f t="shared" si="25"/>
        <v>3.4755572821312386</v>
      </c>
      <c r="AF77" s="84">
        <f t="shared" si="32"/>
        <v>1.5244273584962094</v>
      </c>
      <c r="AG77" s="85">
        <f t="shared" si="26"/>
        <v>27.317914818101155</v>
      </c>
      <c r="AH77" s="83"/>
      <c r="AI77" s="87">
        <f t="shared" si="27"/>
        <v>2.9155572821312385</v>
      </c>
      <c r="AJ77" s="109">
        <f t="shared" si="28"/>
        <v>1.2788036350297975</v>
      </c>
      <c r="AK77" s="83">
        <f t="shared" si="29"/>
        <v>79.64694548055569</v>
      </c>
      <c r="AL77" s="87">
        <f t="shared" si="30"/>
        <v>6.955891535630924</v>
      </c>
    </row>
    <row r="78" spans="1:38" ht="12.75" hidden="1">
      <c r="A78" s="1">
        <v>115</v>
      </c>
      <c r="B78" s="169"/>
      <c r="C78" s="170"/>
      <c r="D78" s="96">
        <v>5</v>
      </c>
      <c r="E78" s="96"/>
      <c r="F78" s="96"/>
      <c r="G78" s="68" t="s">
        <v>77</v>
      </c>
      <c r="H78" s="69">
        <v>7972</v>
      </c>
      <c r="I78" s="70">
        <f>'[1]MihrlineDX'!G45</f>
        <v>14</v>
      </c>
      <c r="J78" s="69">
        <v>7519</v>
      </c>
      <c r="K78" s="68"/>
      <c r="L78" s="68"/>
      <c r="M78" s="68"/>
      <c r="N78" s="70">
        <v>28</v>
      </c>
      <c r="O78" s="10">
        <v>25</v>
      </c>
      <c r="P78" s="72">
        <v>92728.5</v>
      </c>
      <c r="Q78" s="72">
        <v>82543.2</v>
      </c>
      <c r="R78" s="72">
        <v>1292285.2</v>
      </c>
      <c r="S78" s="72">
        <v>1036001.6</v>
      </c>
      <c r="T78" s="73">
        <f t="shared" si="31"/>
        <v>42994066.4</v>
      </c>
      <c r="U78" s="76">
        <f>'[1]Annual'!R45</f>
        <v>0.56</v>
      </c>
      <c r="V78" s="72">
        <v>4644186.108124253</v>
      </c>
      <c r="W78" s="166"/>
      <c r="X78" s="167">
        <v>4.212524952740459</v>
      </c>
      <c r="Y78" s="168">
        <f t="shared" si="16"/>
        <v>2600744.220549582</v>
      </c>
      <c r="Z78" s="72">
        <v>19563749.865644015</v>
      </c>
      <c r="AA78" s="81">
        <v>8431793.442033201</v>
      </c>
      <c r="AB78" s="81">
        <f t="shared" si="17"/>
        <v>5831049.22148362</v>
      </c>
      <c r="AC78" s="82">
        <f t="shared" si="24"/>
        <v>102.15006738329991</v>
      </c>
      <c r="AD78" s="83"/>
      <c r="AE78" s="83">
        <f t="shared" si="25"/>
        <v>1.815558904343463</v>
      </c>
      <c r="AF78" s="84">
        <f t="shared" si="32"/>
        <v>0.43099065874075143</v>
      </c>
      <c r="AG78" s="85">
        <f t="shared" si="26"/>
        <v>56.26370322599867</v>
      </c>
      <c r="AH78" s="83"/>
      <c r="AI78" s="87">
        <f t="shared" si="27"/>
        <v>1.2555589043434632</v>
      </c>
      <c r="AJ78" s="109">
        <f t="shared" si="28"/>
        <v>0.2980537607324223</v>
      </c>
      <c r="AK78" s="83">
        <f t="shared" si="29"/>
        <v>70.64239357674066</v>
      </c>
      <c r="AL78" s="87">
        <f t="shared" si="30"/>
        <v>5.628417196926742</v>
      </c>
    </row>
    <row r="79" spans="1:38" ht="12.75" hidden="1">
      <c r="A79" s="1">
        <v>117</v>
      </c>
      <c r="B79" s="169"/>
      <c r="C79" s="170"/>
      <c r="D79" s="96">
        <v>18</v>
      </c>
      <c r="E79" s="96"/>
      <c r="F79" s="96"/>
      <c r="G79" s="68" t="s">
        <v>77</v>
      </c>
      <c r="H79" s="69">
        <v>3278</v>
      </c>
      <c r="I79" s="70">
        <f>'[1]MihrlineDX'!G46</f>
        <v>9</v>
      </c>
      <c r="J79" s="69">
        <v>4407</v>
      </c>
      <c r="K79" s="68"/>
      <c r="L79" s="68"/>
      <c r="M79" s="68"/>
      <c r="N79" s="70">
        <v>10</v>
      </c>
      <c r="O79" s="10">
        <v>13</v>
      </c>
      <c r="P79" s="72">
        <v>58829.8</v>
      </c>
      <c r="Q79" s="72">
        <v>54894.2</v>
      </c>
      <c r="R79" s="72">
        <v>732036.9</v>
      </c>
      <c r="S79" s="72">
        <v>630086.7</v>
      </c>
      <c r="T79" s="73">
        <f t="shared" si="31"/>
        <v>26148598.049999997</v>
      </c>
      <c r="U79" s="76">
        <f>'[1]Annual'!R46</f>
        <v>0.56</v>
      </c>
      <c r="V79" s="72">
        <v>3387646.596035544</v>
      </c>
      <c r="W79" s="166"/>
      <c r="X79" s="167">
        <v>3.119516936266061</v>
      </c>
      <c r="Y79" s="168">
        <f t="shared" si="16"/>
        <v>1897082.0937799048</v>
      </c>
      <c r="Z79" s="72">
        <v>10567820.930416951</v>
      </c>
      <c r="AA79" s="81">
        <v>5276764.392076793</v>
      </c>
      <c r="AB79" s="81">
        <f t="shared" si="17"/>
        <v>3379682.2982968884</v>
      </c>
      <c r="AC79" s="82">
        <f t="shared" si="24"/>
        <v>96.12608239261695</v>
      </c>
      <c r="AD79" s="83"/>
      <c r="AE79" s="83">
        <f t="shared" si="25"/>
        <v>1.5576490175368423</v>
      </c>
      <c r="AF79" s="84">
        <f t="shared" si="32"/>
        <v>0.49932378934325866</v>
      </c>
      <c r="AG79" s="85">
        <f t="shared" si="26"/>
        <v>61.71228647171366</v>
      </c>
      <c r="AH79" s="83"/>
      <c r="AI79" s="87">
        <f t="shared" si="27"/>
        <v>0.9976490175368423</v>
      </c>
      <c r="AJ79" s="109">
        <f t="shared" si="28"/>
        <v>0.3198088158902541</v>
      </c>
      <c r="AK79" s="83">
        <f t="shared" si="29"/>
        <v>61.5672019684573</v>
      </c>
      <c r="AL79" s="87">
        <f t="shared" si="30"/>
        <v>5.363836910534516</v>
      </c>
    </row>
    <row r="80" spans="1:38" ht="12.75" hidden="1">
      <c r="A80" s="1">
        <v>119</v>
      </c>
      <c r="B80" s="169"/>
      <c r="C80" s="170"/>
      <c r="D80" s="96">
        <v>18</v>
      </c>
      <c r="E80" s="96"/>
      <c r="F80" s="96"/>
      <c r="G80" s="68" t="s">
        <v>77</v>
      </c>
      <c r="H80" s="69">
        <v>1020</v>
      </c>
      <c r="I80" s="70">
        <f>'[1]MihrlineDX'!G47</f>
        <v>4</v>
      </c>
      <c r="J80" s="69">
        <v>1020</v>
      </c>
      <c r="K80" s="68"/>
      <c r="L80" s="68"/>
      <c r="M80" s="68"/>
      <c r="N80" s="70">
        <v>4</v>
      </c>
      <c r="O80" s="10">
        <v>4</v>
      </c>
      <c r="P80" s="72">
        <v>15733.5</v>
      </c>
      <c r="Q80" s="72">
        <v>14484</v>
      </c>
      <c r="R80" s="72">
        <v>245565</v>
      </c>
      <c r="S80" s="72">
        <v>209941.5</v>
      </c>
      <c r="T80" s="73">
        <f t="shared" si="31"/>
        <v>8712572.25</v>
      </c>
      <c r="U80" s="76">
        <f>'[1]Annual'!R47</f>
        <v>0.56</v>
      </c>
      <c r="V80" s="72">
        <v>340552.5</v>
      </c>
      <c r="W80" s="166"/>
      <c r="X80" s="167">
        <v>3.300917259453388</v>
      </c>
      <c r="Y80" s="168">
        <f t="shared" si="16"/>
        <v>190709.40000000002</v>
      </c>
      <c r="Z80" s="72">
        <v>1124135.625</v>
      </c>
      <c r="AA80" s="81">
        <v>1561731.7538266398</v>
      </c>
      <c r="AB80" s="81">
        <f t="shared" si="17"/>
        <v>1371022.3538266397</v>
      </c>
      <c r="AC80" s="82">
        <f t="shared" si="24"/>
        <v>107.82461708275613</v>
      </c>
      <c r="AD80" s="83"/>
      <c r="AE80" s="83">
        <f t="shared" si="25"/>
        <v>4.585876638188355</v>
      </c>
      <c r="AF80" s="84">
        <f t="shared" si="32"/>
        <v>1.3892734284856774</v>
      </c>
      <c r="AG80" s="85">
        <f t="shared" si="26"/>
        <v>23.512323943661972</v>
      </c>
      <c r="AH80" s="83"/>
      <c r="AI80" s="87">
        <f t="shared" si="27"/>
        <v>4.025876638188355</v>
      </c>
      <c r="AJ80" s="109">
        <f t="shared" si="28"/>
        <v>1.2196236142117103</v>
      </c>
      <c r="AK80" s="83">
        <f t="shared" si="29"/>
        <v>94.65771567430542</v>
      </c>
      <c r="AL80" s="87">
        <f t="shared" si="30"/>
        <v>6.5304970852672755</v>
      </c>
    </row>
    <row r="81" spans="1:38" ht="12.75" hidden="1">
      <c r="A81" s="1">
        <v>120</v>
      </c>
      <c r="B81" s="169"/>
      <c r="C81" s="170"/>
      <c r="D81" s="96">
        <v>18</v>
      </c>
      <c r="E81" s="96"/>
      <c r="F81" s="96"/>
      <c r="G81" s="68" t="s">
        <v>77</v>
      </c>
      <c r="H81" s="69">
        <v>3377</v>
      </c>
      <c r="I81" s="70">
        <f>'[1]MihrlineDX'!G48</f>
        <v>8</v>
      </c>
      <c r="J81" s="69">
        <v>3892</v>
      </c>
      <c r="K81" s="68"/>
      <c r="L81" s="68"/>
      <c r="M81" s="68"/>
      <c r="N81" s="70">
        <v>11</v>
      </c>
      <c r="O81" s="10">
        <v>12</v>
      </c>
      <c r="P81" s="72">
        <v>54111.6</v>
      </c>
      <c r="Q81" s="72">
        <v>49873.1</v>
      </c>
      <c r="R81" s="72">
        <v>787389.2</v>
      </c>
      <c r="S81" s="72">
        <v>663273.9</v>
      </c>
      <c r="T81" s="73">
        <f t="shared" si="31"/>
        <v>27525866.85</v>
      </c>
      <c r="U81" s="76">
        <f>'[1]Annual'!R48</f>
        <v>0.56</v>
      </c>
      <c r="V81" s="72">
        <v>2033038.0053353654</v>
      </c>
      <c r="W81" s="166"/>
      <c r="X81" s="167">
        <v>3.6317888087903616</v>
      </c>
      <c r="Y81" s="168">
        <f t="shared" si="16"/>
        <v>1138501.2829878049</v>
      </c>
      <c r="Z81" s="72">
        <v>7383564.6756224595</v>
      </c>
      <c r="AA81" s="81">
        <v>5078863.56657799</v>
      </c>
      <c r="AB81" s="81">
        <f t="shared" si="17"/>
        <v>3940362.2835901845</v>
      </c>
      <c r="AC81" s="82">
        <f t="shared" si="24"/>
        <v>101.83573041535396</v>
      </c>
      <c r="AD81" s="83"/>
      <c r="AE81" s="83">
        <f t="shared" si="25"/>
        <v>2.4981645956688308</v>
      </c>
      <c r="AF81" s="84">
        <f t="shared" si="32"/>
        <v>0.687860645867482</v>
      </c>
      <c r="AG81" s="85">
        <f t="shared" si="26"/>
        <v>40.76421969629651</v>
      </c>
      <c r="AH81" s="83"/>
      <c r="AI81" s="87">
        <f t="shared" si="27"/>
        <v>1.9381645956688307</v>
      </c>
      <c r="AJ81" s="109">
        <f t="shared" si="28"/>
        <v>0.5336666578678</v>
      </c>
      <c r="AK81" s="83">
        <f t="shared" si="29"/>
        <v>79.00776738542791</v>
      </c>
      <c r="AL81" s="87">
        <f t="shared" si="30"/>
        <v>5.940776930300113</v>
      </c>
    </row>
    <row r="82" spans="1:38" ht="12.75" hidden="1">
      <c r="A82" s="1">
        <v>124</v>
      </c>
      <c r="B82" s="169"/>
      <c r="C82" s="170"/>
      <c r="D82" s="96">
        <v>18</v>
      </c>
      <c r="E82" s="96"/>
      <c r="F82" s="96"/>
      <c r="G82" s="68" t="s">
        <v>77</v>
      </c>
      <c r="H82" s="69">
        <v>1228</v>
      </c>
      <c r="I82" s="70">
        <f>'[1]MihrlineDX'!G49</f>
        <v>3</v>
      </c>
      <c r="J82" s="69">
        <v>973</v>
      </c>
      <c r="K82" s="68"/>
      <c r="L82" s="68"/>
      <c r="M82" s="68"/>
      <c r="N82" s="70">
        <v>4</v>
      </c>
      <c r="O82" s="10">
        <v>3</v>
      </c>
      <c r="P82" s="72">
        <v>15782.5</v>
      </c>
      <c r="Q82" s="72">
        <v>14838</v>
      </c>
      <c r="R82" s="72">
        <v>194420</v>
      </c>
      <c r="S82" s="72">
        <v>170031.5</v>
      </c>
      <c r="T82" s="73">
        <f t="shared" si="31"/>
        <v>7056307.25</v>
      </c>
      <c r="U82" s="76">
        <f>'[1]Annual'!R49</f>
        <v>0.56</v>
      </c>
      <c r="V82" s="72">
        <v>475788.2533936652</v>
      </c>
      <c r="W82" s="166"/>
      <c r="X82" s="167">
        <v>3.723885001545041</v>
      </c>
      <c r="Y82" s="168">
        <f t="shared" si="16"/>
        <v>266441.4219004525</v>
      </c>
      <c r="Z82" s="72">
        <v>1771780.7407239813</v>
      </c>
      <c r="AA82" s="81">
        <v>1442100.694954018</v>
      </c>
      <c r="AB82" s="81">
        <f t="shared" si="17"/>
        <v>1175659.2730535655</v>
      </c>
      <c r="AC82" s="82">
        <f t="shared" si="24"/>
        <v>97.18969503666385</v>
      </c>
      <c r="AD82" s="83"/>
      <c r="AE82" s="83">
        <f t="shared" si="25"/>
        <v>3.0309716237589206</v>
      </c>
      <c r="AF82" s="84">
        <f t="shared" si="32"/>
        <v>0.8139272889741143</v>
      </c>
      <c r="AG82" s="85">
        <f t="shared" si="26"/>
        <v>32.06552455813891</v>
      </c>
      <c r="AH82" s="83"/>
      <c r="AI82" s="87">
        <f t="shared" si="27"/>
        <v>2.4709716237589205</v>
      </c>
      <c r="AJ82" s="109">
        <f t="shared" si="28"/>
        <v>0.6635467053181593</v>
      </c>
      <c r="AK82" s="83">
        <f t="shared" si="29"/>
        <v>79.23300128410605</v>
      </c>
      <c r="AL82" s="87">
        <f t="shared" si="30"/>
        <v>6.914361592137725</v>
      </c>
    </row>
    <row r="83" spans="1:38" ht="12.75" hidden="1">
      <c r="A83" s="1">
        <v>127</v>
      </c>
      <c r="B83" s="169"/>
      <c r="C83" s="170"/>
      <c r="D83" s="96">
        <v>18</v>
      </c>
      <c r="E83" s="96"/>
      <c r="F83" s="96"/>
      <c r="G83" s="68" t="s">
        <v>77</v>
      </c>
      <c r="H83" s="69">
        <v>765</v>
      </c>
      <c r="I83" s="70">
        <f>'[1]MihrlineDX'!G50</f>
        <v>3</v>
      </c>
      <c r="J83" s="69">
        <v>765</v>
      </c>
      <c r="K83" s="68"/>
      <c r="L83" s="68"/>
      <c r="M83" s="68"/>
      <c r="N83" s="70">
        <v>3</v>
      </c>
      <c r="O83" s="10">
        <v>3</v>
      </c>
      <c r="P83" s="72">
        <v>11577</v>
      </c>
      <c r="Q83" s="72">
        <v>11220</v>
      </c>
      <c r="R83" s="72">
        <v>133339.5</v>
      </c>
      <c r="S83" s="72">
        <v>123828</v>
      </c>
      <c r="T83" s="73">
        <f t="shared" si="31"/>
        <v>5138862</v>
      </c>
      <c r="U83" s="76">
        <f>'[1]Annual'!R50</f>
        <v>0.56</v>
      </c>
      <c r="V83" s="72">
        <v>291975</v>
      </c>
      <c r="W83" s="166"/>
      <c r="X83" s="167">
        <v>3.663406113537118</v>
      </c>
      <c r="Y83" s="168">
        <f t="shared" si="16"/>
        <v>163506.00000000003</v>
      </c>
      <c r="Z83" s="72">
        <v>1069623</v>
      </c>
      <c r="AA83" s="81">
        <v>1074958.16327856</v>
      </c>
      <c r="AB83" s="81">
        <f t="shared" si="17"/>
        <v>911452.1632785599</v>
      </c>
      <c r="AC83" s="82">
        <f t="shared" si="24"/>
        <v>95.80732293035294</v>
      </c>
      <c r="AD83" s="83"/>
      <c r="AE83" s="83">
        <f t="shared" si="25"/>
        <v>3.681678785096532</v>
      </c>
      <c r="AF83" s="84">
        <f t="shared" si="32"/>
        <v>1.0049878913211103</v>
      </c>
      <c r="AG83" s="85">
        <f t="shared" si="26"/>
        <v>26.022727272727273</v>
      </c>
      <c r="AH83" s="83"/>
      <c r="AI83" s="87">
        <f t="shared" si="27"/>
        <v>3.121678785096532</v>
      </c>
      <c r="AJ83" s="109">
        <f t="shared" si="28"/>
        <v>0.8521246862479209</v>
      </c>
      <c r="AK83" s="83">
        <f t="shared" si="29"/>
        <v>81.23459565762566</v>
      </c>
      <c r="AL83" s="87">
        <f t="shared" si="30"/>
        <v>7.360630578532803</v>
      </c>
    </row>
    <row r="84" spans="1:38" ht="12.75" hidden="1">
      <c r="A84" s="1">
        <v>202</v>
      </c>
      <c r="B84" s="169"/>
      <c r="C84" s="170"/>
      <c r="D84" s="96">
        <v>18</v>
      </c>
      <c r="E84" s="96"/>
      <c r="F84" s="96"/>
      <c r="G84" s="171" t="s">
        <v>77</v>
      </c>
      <c r="H84" s="69">
        <v>1228</v>
      </c>
      <c r="I84" s="70">
        <f>'[1]MihrlineDX'!G69</f>
        <v>4</v>
      </c>
      <c r="J84" s="69">
        <v>1228</v>
      </c>
      <c r="K84" s="68"/>
      <c r="L84" s="68"/>
      <c r="M84" s="68"/>
      <c r="N84" s="70">
        <v>4</v>
      </c>
      <c r="O84" s="10">
        <v>4</v>
      </c>
      <c r="P84" s="72">
        <v>20250</v>
      </c>
      <c r="Q84" s="72">
        <v>19451.5</v>
      </c>
      <c r="R84" s="72">
        <v>293479.5</v>
      </c>
      <c r="S84" s="72">
        <v>270027</v>
      </c>
      <c r="T84" s="73">
        <f t="shared" si="31"/>
        <v>11206120.5</v>
      </c>
      <c r="U84" s="76">
        <f>'[1]Annual'!R69</f>
        <v>0.56</v>
      </c>
      <c r="V84" s="72">
        <v>459882.1304761905</v>
      </c>
      <c r="W84" s="166"/>
      <c r="X84" s="167">
        <v>3.7025818915996886</v>
      </c>
      <c r="Y84" s="168">
        <f t="shared" si="16"/>
        <v>257533.99306666668</v>
      </c>
      <c r="Z84" s="72">
        <v>1702751.2485714282</v>
      </c>
      <c r="AA84" s="81">
        <v>2005916.8582827249</v>
      </c>
      <c r="AB84" s="81">
        <f t="shared" si="17"/>
        <v>1748382.8652160582</v>
      </c>
      <c r="AC84" s="82">
        <f t="shared" si="24"/>
        <v>103.12401913902397</v>
      </c>
      <c r="AD84" s="83"/>
      <c r="AE84" s="83">
        <f t="shared" si="25"/>
        <v>4.361806483338838</v>
      </c>
      <c r="AF84" s="84">
        <f t="shared" si="32"/>
        <v>1.1780445675583242</v>
      </c>
      <c r="AG84" s="85">
        <f t="shared" si="26"/>
        <v>23.64250214513999</v>
      </c>
      <c r="AH84" s="83"/>
      <c r="AI84" s="87">
        <f t="shared" si="27"/>
        <v>3.801806483338838</v>
      </c>
      <c r="AJ84" s="109">
        <f t="shared" si="28"/>
        <v>1.0267987568254107</v>
      </c>
      <c r="AK84" s="83">
        <f t="shared" si="29"/>
        <v>89.88421793774559</v>
      </c>
      <c r="AL84" s="87">
        <f t="shared" si="30"/>
        <v>6.474844608931915</v>
      </c>
    </row>
    <row r="85" spans="1:38" ht="12.75" hidden="1">
      <c r="A85" s="1">
        <v>204</v>
      </c>
      <c r="B85" s="169"/>
      <c r="C85" s="170"/>
      <c r="D85" s="96">
        <v>5</v>
      </c>
      <c r="E85" s="96"/>
      <c r="F85" s="96"/>
      <c r="G85" s="171" t="s">
        <v>77</v>
      </c>
      <c r="H85" s="69">
        <v>5786</v>
      </c>
      <c r="I85" s="70">
        <f>'[1]MihrlineDX'!G70</f>
        <v>14</v>
      </c>
      <c r="J85" s="69">
        <v>6400</v>
      </c>
      <c r="K85" s="68"/>
      <c r="L85" s="68"/>
      <c r="M85" s="68"/>
      <c r="N85" s="70">
        <v>18</v>
      </c>
      <c r="O85" s="10">
        <v>20</v>
      </c>
      <c r="P85" s="72">
        <v>98948.6</v>
      </c>
      <c r="Q85" s="72">
        <v>92362.9</v>
      </c>
      <c r="R85" s="72">
        <v>1056416.3</v>
      </c>
      <c r="S85" s="72">
        <v>932726.5</v>
      </c>
      <c r="T85" s="73">
        <f t="shared" si="31"/>
        <v>38708149.75</v>
      </c>
      <c r="U85" s="76">
        <f>'[1]Annual'!R70</f>
        <v>0.56</v>
      </c>
      <c r="V85" s="72">
        <v>17214722.029734228</v>
      </c>
      <c r="W85" s="166"/>
      <c r="X85" s="167">
        <v>2.571464721762593</v>
      </c>
      <c r="Y85" s="168">
        <f t="shared" si="16"/>
        <v>9640244.336651169</v>
      </c>
      <c r="Z85" s="72">
        <v>44267050.39441091</v>
      </c>
      <c r="AA85" s="81">
        <v>8596335.156184755</v>
      </c>
      <c r="AB85" s="81">
        <f t="shared" si="17"/>
        <v>-1043909.1804664135</v>
      </c>
      <c r="AC85" s="82">
        <f t="shared" si="24"/>
        <v>93.0712997987802</v>
      </c>
      <c r="AD85" s="83"/>
      <c r="AE85" s="83">
        <f t="shared" si="25"/>
        <v>0.49935950992044403</v>
      </c>
      <c r="AF85" s="84">
        <f t="shared" si="32"/>
        <v>0.1941926349190439</v>
      </c>
      <c r="AG85" s="85">
        <f t="shared" si="26"/>
        <v>186.3813504094634</v>
      </c>
      <c r="AH85" s="83"/>
      <c r="AI85" s="87">
        <f t="shared" si="27"/>
        <v>-0.060640490079556054</v>
      </c>
      <c r="AJ85" s="109">
        <f t="shared" si="28"/>
        <v>-0.023582081280893653</v>
      </c>
      <c r="AK85" s="83">
        <f t="shared" si="29"/>
        <v>-11.302256430519327</v>
      </c>
      <c r="AL85" s="87">
        <f t="shared" si="30"/>
        <v>-1.1192018029576876</v>
      </c>
    </row>
    <row r="86" spans="1:38" ht="12.75" hidden="1">
      <c r="A86" s="1">
        <v>206</v>
      </c>
      <c r="B86" s="169"/>
      <c r="C86" s="170"/>
      <c r="D86" s="96">
        <v>3</v>
      </c>
      <c r="E86" s="96">
        <v>5</v>
      </c>
      <c r="F86" s="96"/>
      <c r="G86" s="171" t="s">
        <v>77</v>
      </c>
      <c r="H86" s="69">
        <v>5219</v>
      </c>
      <c r="I86" s="70">
        <f>'[1]MihrlineDX'!G71</f>
        <v>10</v>
      </c>
      <c r="J86" s="69">
        <v>6749</v>
      </c>
      <c r="K86" s="68"/>
      <c r="L86" s="68"/>
      <c r="M86" s="68"/>
      <c r="N86" s="70">
        <v>17</v>
      </c>
      <c r="O86" s="10">
        <v>23</v>
      </c>
      <c r="P86" s="72">
        <v>71763.1</v>
      </c>
      <c r="Q86" s="72">
        <v>65957.2</v>
      </c>
      <c r="R86" s="72">
        <v>824578.6</v>
      </c>
      <c r="S86" s="72">
        <v>701789.7</v>
      </c>
      <c r="T86" s="73">
        <f t="shared" si="31"/>
        <v>29124272.549999997</v>
      </c>
      <c r="U86" s="76">
        <f>'[1]Annual'!R71</f>
        <v>0.56</v>
      </c>
      <c r="V86" s="72">
        <v>4967336.457093255</v>
      </c>
      <c r="W86" s="166"/>
      <c r="X86" s="167">
        <v>2.8043832000065896</v>
      </c>
      <c r="Y86" s="168">
        <f t="shared" si="16"/>
        <v>2781708.415972223</v>
      </c>
      <c r="Z86" s="72">
        <v>13930314.909052577</v>
      </c>
      <c r="AA86" s="81">
        <v>6259215.22311208</v>
      </c>
      <c r="AB86" s="81">
        <f t="shared" si="17"/>
        <v>3477506.807139857</v>
      </c>
      <c r="AC86" s="82">
        <f t="shared" si="24"/>
        <v>94.8981342918147</v>
      </c>
      <c r="AD86" s="83"/>
      <c r="AE86" s="83">
        <f t="shared" si="25"/>
        <v>1.2600747457269679</v>
      </c>
      <c r="AF86" s="84">
        <f t="shared" si="32"/>
        <v>0.4493233113520317</v>
      </c>
      <c r="AG86" s="85">
        <f t="shared" si="26"/>
        <v>75.31151196674897</v>
      </c>
      <c r="AH86" s="83"/>
      <c r="AI86" s="87">
        <f t="shared" si="27"/>
        <v>0.7000747457269678</v>
      </c>
      <c r="AJ86" s="109">
        <f t="shared" si="28"/>
        <v>0.24963590771950236</v>
      </c>
      <c r="AK86" s="83">
        <f t="shared" si="29"/>
        <v>52.723687590435276</v>
      </c>
      <c r="AL86" s="87">
        <f t="shared" si="30"/>
        <v>4.9551978422308816</v>
      </c>
    </row>
    <row r="87" spans="1:38" ht="12.75" hidden="1">
      <c r="A87" s="1">
        <v>207</v>
      </c>
      <c r="B87" s="169"/>
      <c r="C87" s="170"/>
      <c r="D87" s="96">
        <v>5</v>
      </c>
      <c r="E87" s="96">
        <v>18</v>
      </c>
      <c r="F87" s="96"/>
      <c r="G87" s="171" t="s">
        <v>77</v>
      </c>
      <c r="H87" s="69">
        <v>10646</v>
      </c>
      <c r="I87" s="70">
        <f>'[1]MihrlineDX'!G72</f>
        <v>26</v>
      </c>
      <c r="J87" s="69">
        <v>11572</v>
      </c>
      <c r="K87" s="68"/>
      <c r="L87" s="68"/>
      <c r="M87" s="68"/>
      <c r="N87" s="70">
        <v>34</v>
      </c>
      <c r="O87" s="10">
        <v>36</v>
      </c>
      <c r="P87" s="72">
        <v>153921.9</v>
      </c>
      <c r="Q87" s="72">
        <v>145077.8</v>
      </c>
      <c r="R87" s="72">
        <v>1763784.9</v>
      </c>
      <c r="S87" s="72">
        <v>1536840.1</v>
      </c>
      <c r="T87" s="73">
        <f t="shared" si="31"/>
        <v>63778864.150000006</v>
      </c>
      <c r="U87" s="76">
        <f>'[1]Annual'!R72</f>
        <v>0.56</v>
      </c>
      <c r="V87" s="72">
        <v>12420054.612454142</v>
      </c>
      <c r="W87" s="166"/>
      <c r="X87" s="167">
        <v>2.629464915917551</v>
      </c>
      <c r="Y87" s="168">
        <f t="shared" si="16"/>
        <v>6955230.58297432</v>
      </c>
      <c r="Z87" s="72">
        <v>32658097.857228123</v>
      </c>
      <c r="AA87" s="81">
        <v>13692490.472668182</v>
      </c>
      <c r="AB87" s="81">
        <f t="shared" si="17"/>
        <v>6737259.889693862</v>
      </c>
      <c r="AC87" s="82">
        <f t="shared" si="24"/>
        <v>94.3803288488534</v>
      </c>
      <c r="AD87" s="83"/>
      <c r="AE87" s="83">
        <f t="shared" si="25"/>
        <v>1.1024501018649395</v>
      </c>
      <c r="AF87" s="84">
        <f t="shared" si="32"/>
        <v>0.41926784996872263</v>
      </c>
      <c r="AG87" s="85">
        <f t="shared" si="26"/>
        <v>85.60961506484206</v>
      </c>
      <c r="AH87" s="83"/>
      <c r="AI87" s="87">
        <f t="shared" si="27"/>
        <v>0.5424501018649396</v>
      </c>
      <c r="AJ87" s="109">
        <f t="shared" si="28"/>
        <v>0.20629676349024484</v>
      </c>
      <c r="AK87" s="83">
        <f t="shared" si="29"/>
        <v>46.43894441254184</v>
      </c>
      <c r="AL87" s="87">
        <f t="shared" si="30"/>
        <v>4.383839209878674</v>
      </c>
    </row>
    <row r="88" spans="1:38" ht="12.75" hidden="1">
      <c r="A88" s="1">
        <v>209</v>
      </c>
      <c r="B88" s="169"/>
      <c r="C88" s="170"/>
      <c r="D88" s="96">
        <v>5</v>
      </c>
      <c r="E88" s="96"/>
      <c r="F88" s="96"/>
      <c r="G88" s="171" t="s">
        <v>77</v>
      </c>
      <c r="H88" s="69">
        <v>1124</v>
      </c>
      <c r="I88" s="70">
        <f>'[1]MihrlineDX'!G73</f>
        <v>3</v>
      </c>
      <c r="J88" s="69">
        <v>1124</v>
      </c>
      <c r="K88" s="68"/>
      <c r="L88" s="68"/>
      <c r="M88" s="68"/>
      <c r="N88" s="70">
        <v>4</v>
      </c>
      <c r="O88" s="10">
        <v>4</v>
      </c>
      <c r="P88" s="72">
        <v>15034.9</v>
      </c>
      <c r="Q88" s="72">
        <v>14151.3</v>
      </c>
      <c r="R88" s="72">
        <v>205226.8</v>
      </c>
      <c r="S88" s="72">
        <v>189144</v>
      </c>
      <c r="T88" s="73">
        <f t="shared" si="31"/>
        <v>7849476</v>
      </c>
      <c r="U88" s="76">
        <f>'[1]Annual'!R73</f>
        <v>0.56</v>
      </c>
      <c r="V88" s="72">
        <v>359315</v>
      </c>
      <c r="W88" s="166"/>
      <c r="X88" s="167">
        <v>4.370570808343653</v>
      </c>
      <c r="Y88" s="168">
        <f t="shared" si="16"/>
        <v>201216.40000000002</v>
      </c>
      <c r="Z88" s="72">
        <v>1570411.65</v>
      </c>
      <c r="AA88" s="81">
        <v>1459760.6867220518</v>
      </c>
      <c r="AB88" s="81">
        <f t="shared" si="17"/>
        <v>1258544.286722052</v>
      </c>
      <c r="AC88" s="82">
        <f t="shared" si="24"/>
        <v>103.15382238536756</v>
      </c>
      <c r="AD88" s="83"/>
      <c r="AE88" s="83">
        <f t="shared" si="25"/>
        <v>4.0626210615255465</v>
      </c>
      <c r="AF88" s="84">
        <f t="shared" si="32"/>
        <v>0.9295401538329469</v>
      </c>
      <c r="AG88" s="85">
        <f t="shared" si="26"/>
        <v>25.390953481305605</v>
      </c>
      <c r="AH88" s="83"/>
      <c r="AI88" s="87">
        <f t="shared" si="27"/>
        <v>3.502621061525547</v>
      </c>
      <c r="AJ88" s="109">
        <f t="shared" si="28"/>
        <v>0.8014104370163403</v>
      </c>
      <c r="AK88" s="83">
        <f t="shared" si="29"/>
        <v>88.93488843583643</v>
      </c>
      <c r="AL88" s="87">
        <f t="shared" si="30"/>
        <v>6.653894845842595</v>
      </c>
    </row>
    <row r="89" spans="1:38" ht="12.75" hidden="1">
      <c r="A89" s="1">
        <v>210</v>
      </c>
      <c r="B89" s="169"/>
      <c r="C89" s="170"/>
      <c r="D89" s="96">
        <v>18</v>
      </c>
      <c r="E89" s="96"/>
      <c r="F89" s="96"/>
      <c r="G89" s="171" t="s">
        <v>77</v>
      </c>
      <c r="H89" s="69">
        <v>8180</v>
      </c>
      <c r="I89" s="70">
        <f>'[1]MihrlineDX'!G74</f>
        <v>19</v>
      </c>
      <c r="J89" s="69">
        <v>9616</v>
      </c>
      <c r="K89" s="68"/>
      <c r="L89" s="68"/>
      <c r="M89" s="68"/>
      <c r="N89" s="70">
        <v>28</v>
      </c>
      <c r="O89" s="10">
        <v>32</v>
      </c>
      <c r="P89" s="72">
        <v>114990.3</v>
      </c>
      <c r="Q89" s="72">
        <v>104476.9</v>
      </c>
      <c r="R89" s="72">
        <v>1553359.2</v>
      </c>
      <c r="S89" s="72">
        <v>1242725.4</v>
      </c>
      <c r="T89" s="73">
        <f t="shared" si="31"/>
        <v>51573104.099999994</v>
      </c>
      <c r="U89" s="76">
        <f>'[1]Annual'!R74</f>
        <v>0.56</v>
      </c>
      <c r="V89" s="72">
        <v>5879239.387720571</v>
      </c>
      <c r="W89" s="166"/>
      <c r="X89" s="167">
        <v>3.952723457763215</v>
      </c>
      <c r="Y89" s="168">
        <f t="shared" si="16"/>
        <v>3292374.05712352</v>
      </c>
      <c r="Z89" s="72">
        <v>23239007.441648543</v>
      </c>
      <c r="AA89" s="81">
        <v>10333575.423277166</v>
      </c>
      <c r="AB89" s="81">
        <f t="shared" si="17"/>
        <v>7041201.366153646</v>
      </c>
      <c r="AC89" s="82">
        <f t="shared" si="24"/>
        <v>98.90775303705571</v>
      </c>
      <c r="AD89" s="83"/>
      <c r="AE89" s="83">
        <f t="shared" si="25"/>
        <v>1.7576381470126832</v>
      </c>
      <c r="AF89" s="84">
        <f t="shared" si="32"/>
        <v>0.44466509377493946</v>
      </c>
      <c r="AG89" s="85">
        <f t="shared" si="26"/>
        <v>56.273103314900915</v>
      </c>
      <c r="AH89" s="83"/>
      <c r="AI89" s="87">
        <f t="shared" si="27"/>
        <v>1.1976381470126831</v>
      </c>
      <c r="AJ89" s="109">
        <f t="shared" si="28"/>
        <v>0.3029906240115285</v>
      </c>
      <c r="AK89" s="83">
        <f t="shared" si="29"/>
        <v>67.3948151807112</v>
      </c>
      <c r="AL89" s="87">
        <f t="shared" si="30"/>
        <v>5.6659350216497115</v>
      </c>
    </row>
    <row r="90" spans="1:38" ht="12.75" hidden="1">
      <c r="A90" s="1">
        <v>211</v>
      </c>
      <c r="B90" s="169"/>
      <c r="C90" s="170"/>
      <c r="D90" s="96">
        <v>18</v>
      </c>
      <c r="E90" s="96"/>
      <c r="F90" s="96"/>
      <c r="G90" s="171" t="s">
        <v>77</v>
      </c>
      <c r="H90" s="69">
        <v>1530</v>
      </c>
      <c r="I90" s="70">
        <f>'[1]MihrlineDX'!G75</f>
        <v>3</v>
      </c>
      <c r="J90" s="69">
        <v>1020</v>
      </c>
      <c r="K90" s="68"/>
      <c r="L90" s="68"/>
      <c r="M90" s="68"/>
      <c r="N90" s="70">
        <v>6</v>
      </c>
      <c r="O90" s="10">
        <v>4</v>
      </c>
      <c r="P90" s="72">
        <v>16090.5</v>
      </c>
      <c r="Q90" s="72">
        <v>13923</v>
      </c>
      <c r="R90" s="72">
        <v>220116</v>
      </c>
      <c r="S90" s="72">
        <v>172864.5</v>
      </c>
      <c r="T90" s="73">
        <f t="shared" si="31"/>
        <v>7173876.75</v>
      </c>
      <c r="U90" s="76">
        <f>'[1]Annual'!R75</f>
        <v>0.56</v>
      </c>
      <c r="V90" s="72">
        <v>417695.1829268293</v>
      </c>
      <c r="W90" s="166"/>
      <c r="X90" s="167">
        <v>3.730210223028491</v>
      </c>
      <c r="Y90" s="168">
        <f t="shared" si="16"/>
        <v>233909.30243902444</v>
      </c>
      <c r="Z90" s="72">
        <v>1558090.8414634143</v>
      </c>
      <c r="AA90" s="81">
        <v>1500285.967973277</v>
      </c>
      <c r="AB90" s="81">
        <f t="shared" si="17"/>
        <v>1266376.6655342525</v>
      </c>
      <c r="AC90" s="82">
        <f t="shared" si="24"/>
        <v>107.75594110272765</v>
      </c>
      <c r="AD90" s="83"/>
      <c r="AE90" s="83">
        <f t="shared" si="25"/>
        <v>3.5918201341481426</v>
      </c>
      <c r="AF90" s="84">
        <f t="shared" si="32"/>
        <v>0.9629001904434245</v>
      </c>
      <c r="AG90" s="85">
        <f t="shared" si="26"/>
        <v>30.00037225646982</v>
      </c>
      <c r="AH90" s="83"/>
      <c r="AI90" s="87">
        <f t="shared" si="27"/>
        <v>3.0318201341481426</v>
      </c>
      <c r="AJ90" s="109">
        <f t="shared" si="28"/>
        <v>0.812774603273341</v>
      </c>
      <c r="AK90" s="83">
        <f t="shared" si="29"/>
        <v>90.95573263910454</v>
      </c>
      <c r="AL90" s="87">
        <f t="shared" si="30"/>
        <v>7.325834196924484</v>
      </c>
    </row>
    <row r="91" spans="1:38" ht="12.75" hidden="1">
      <c r="A91" s="1">
        <v>212</v>
      </c>
      <c r="B91" s="169"/>
      <c r="C91" s="170"/>
      <c r="D91" s="96">
        <v>5</v>
      </c>
      <c r="E91" s="96"/>
      <c r="F91" s="96"/>
      <c r="G91" s="171" t="s">
        <v>77</v>
      </c>
      <c r="H91" s="69">
        <v>5521</v>
      </c>
      <c r="I91" s="70">
        <f>'[1]MihrlineDX'!G76</f>
        <v>12</v>
      </c>
      <c r="J91" s="69">
        <v>5932</v>
      </c>
      <c r="K91" s="68"/>
      <c r="L91" s="68"/>
      <c r="M91" s="68"/>
      <c r="N91" s="70">
        <v>19</v>
      </c>
      <c r="O91" s="10">
        <v>20</v>
      </c>
      <c r="P91" s="72">
        <v>71667.3</v>
      </c>
      <c r="Q91" s="72">
        <v>66731.5</v>
      </c>
      <c r="R91" s="72">
        <v>778447.4</v>
      </c>
      <c r="S91" s="72">
        <v>685990.1</v>
      </c>
      <c r="T91" s="73">
        <f t="shared" si="31"/>
        <v>28468589.15</v>
      </c>
      <c r="U91" s="76">
        <f>'[1]Annual'!R76</f>
        <v>0.56</v>
      </c>
      <c r="V91" s="72">
        <v>3653358.2190335747</v>
      </c>
      <c r="W91" s="166"/>
      <c r="X91" s="167">
        <v>4.27481345385014</v>
      </c>
      <c r="Y91" s="168">
        <f t="shared" si="16"/>
        <v>2045880.602658802</v>
      </c>
      <c r="Z91" s="72">
        <v>15617424.86645871</v>
      </c>
      <c r="AA91" s="81">
        <v>6283294.830113519</v>
      </c>
      <c r="AB91" s="81">
        <f t="shared" si="17"/>
        <v>4237414.227454717</v>
      </c>
      <c r="AC91" s="82">
        <f t="shared" si="24"/>
        <v>94.15785393874735</v>
      </c>
      <c r="AD91" s="83"/>
      <c r="AE91" s="83">
        <f t="shared" si="25"/>
        <v>1.719868256383477</v>
      </c>
      <c r="AF91" s="84">
        <f t="shared" si="32"/>
        <v>0.4023259201719004</v>
      </c>
      <c r="AG91" s="85">
        <f t="shared" si="26"/>
        <v>54.74713169992544</v>
      </c>
      <c r="AH91" s="83"/>
      <c r="AI91" s="87">
        <f t="shared" si="27"/>
        <v>1.159868256383477</v>
      </c>
      <c r="AJ91" s="109">
        <f t="shared" si="28"/>
        <v>0.2713260517459151</v>
      </c>
      <c r="AK91" s="83">
        <f t="shared" si="29"/>
        <v>63.49946018678911</v>
      </c>
      <c r="AL91" s="87">
        <f t="shared" si="30"/>
        <v>6.177077814176498</v>
      </c>
    </row>
    <row r="92" spans="1:38" ht="12.75" hidden="1">
      <c r="A92" s="1">
        <v>230</v>
      </c>
      <c r="B92" s="169"/>
      <c r="C92" s="170"/>
      <c r="D92" s="96">
        <v>15</v>
      </c>
      <c r="E92" s="96"/>
      <c r="F92" s="96"/>
      <c r="G92" s="171" t="s">
        <v>77</v>
      </c>
      <c r="H92" s="69">
        <v>3174</v>
      </c>
      <c r="I92" s="70">
        <f>'[1]MihrlineDX'!G79</f>
        <v>6</v>
      </c>
      <c r="J92" s="69">
        <v>2919</v>
      </c>
      <c r="K92" s="68"/>
      <c r="L92" s="68"/>
      <c r="M92" s="68"/>
      <c r="N92" s="70">
        <v>10</v>
      </c>
      <c r="O92" s="10">
        <v>9</v>
      </c>
      <c r="P92" s="72">
        <v>40813.5</v>
      </c>
      <c r="Q92" s="72">
        <v>38529.9</v>
      </c>
      <c r="R92" s="72">
        <v>589973.8</v>
      </c>
      <c r="S92" s="72">
        <v>527121.7</v>
      </c>
      <c r="T92" s="73">
        <f t="shared" si="31"/>
        <v>21875550.549999997</v>
      </c>
      <c r="U92" s="76">
        <f>'[1]Annual'!R79</f>
        <v>0.56</v>
      </c>
      <c r="V92" s="72">
        <v>1568072.8260869563</v>
      </c>
      <c r="W92" s="166"/>
      <c r="X92" s="167">
        <v>3.4736834058052892</v>
      </c>
      <c r="Y92" s="168">
        <f t="shared" si="16"/>
        <v>878120.7826086956</v>
      </c>
      <c r="Z92" s="72">
        <v>5446988.555072463</v>
      </c>
      <c r="AA92" s="81">
        <v>4039648.4225232634</v>
      </c>
      <c r="AB92" s="81">
        <f t="shared" si="17"/>
        <v>3161527.6399145676</v>
      </c>
      <c r="AC92" s="82">
        <f t="shared" si="24"/>
        <v>104.84450835645208</v>
      </c>
      <c r="AD92" s="83"/>
      <c r="AE92" s="83">
        <f t="shared" si="25"/>
        <v>2.576186740385008</v>
      </c>
      <c r="AF92" s="84">
        <f t="shared" si="32"/>
        <v>0.7416296879789428</v>
      </c>
      <c r="AG92" s="85">
        <f t="shared" si="26"/>
        <v>40.69755763931275</v>
      </c>
      <c r="AH92" s="83"/>
      <c r="AI92" s="87">
        <f t="shared" si="27"/>
        <v>2.016186740385008</v>
      </c>
      <c r="AJ92" s="109">
        <f t="shared" si="28"/>
        <v>0.5804175294200722</v>
      </c>
      <c r="AK92" s="83">
        <f t="shared" si="29"/>
        <v>82.05387607843694</v>
      </c>
      <c r="AL92" s="87">
        <f t="shared" si="30"/>
        <v>5.997718629141179</v>
      </c>
    </row>
    <row r="93" spans="1:38" ht="12.75" hidden="1">
      <c r="A93" s="1">
        <v>265</v>
      </c>
      <c r="B93" s="169"/>
      <c r="C93" s="170"/>
      <c r="D93" s="96">
        <v>18</v>
      </c>
      <c r="E93" s="96"/>
      <c r="F93" s="96"/>
      <c r="G93" s="171" t="s">
        <v>77</v>
      </c>
      <c r="H93" s="69">
        <v>1020</v>
      </c>
      <c r="I93" s="70">
        <f>'[1]MihrlineDX'!G90</f>
        <v>5</v>
      </c>
      <c r="J93" s="69">
        <v>1275</v>
      </c>
      <c r="K93" s="68"/>
      <c r="L93" s="68"/>
      <c r="M93" s="68"/>
      <c r="N93" s="70">
        <v>4</v>
      </c>
      <c r="O93" s="10">
        <v>5</v>
      </c>
      <c r="P93" s="72">
        <v>17008.5</v>
      </c>
      <c r="Q93" s="72">
        <v>15249</v>
      </c>
      <c r="R93" s="72">
        <v>296692.5</v>
      </c>
      <c r="S93" s="72">
        <v>241000.5</v>
      </c>
      <c r="T93" s="73">
        <f t="shared" si="31"/>
        <v>10001520.75</v>
      </c>
      <c r="U93" s="76">
        <f>'[1]Annual'!R90</f>
        <v>0.56</v>
      </c>
      <c r="V93" s="72">
        <v>403410</v>
      </c>
      <c r="W93" s="166"/>
      <c r="X93" s="167">
        <v>5.582184119960668</v>
      </c>
      <c r="Y93" s="168">
        <f t="shared" si="16"/>
        <v>225909.60000000003</v>
      </c>
      <c r="Z93" s="72">
        <v>2251908.895833333</v>
      </c>
      <c r="AA93" s="81">
        <v>1679204.82051652</v>
      </c>
      <c r="AB93" s="81">
        <f t="shared" si="17"/>
        <v>1453295.2205165199</v>
      </c>
      <c r="AC93" s="82">
        <f t="shared" si="24"/>
        <v>110.11901242812775</v>
      </c>
      <c r="AD93" s="83"/>
      <c r="AE93" s="83">
        <f t="shared" si="25"/>
        <v>4.1625265127699365</v>
      </c>
      <c r="AF93" s="84">
        <f t="shared" si="32"/>
        <v>0.7456806195061988</v>
      </c>
      <c r="AG93" s="85">
        <f t="shared" si="26"/>
        <v>26.45484949832776</v>
      </c>
      <c r="AH93" s="83"/>
      <c r="AI93" s="87">
        <f t="shared" si="27"/>
        <v>3.602526512769936</v>
      </c>
      <c r="AJ93" s="109">
        <f t="shared" si="28"/>
        <v>0.6453614634257745</v>
      </c>
      <c r="AK93" s="83">
        <f t="shared" si="29"/>
        <v>95.30429670906419</v>
      </c>
      <c r="AL93" s="87">
        <f t="shared" si="30"/>
        <v>6.030258113640925</v>
      </c>
    </row>
    <row r="94" spans="1:38" ht="12.75" hidden="1">
      <c r="A94" s="1">
        <v>305</v>
      </c>
      <c r="B94" s="169"/>
      <c r="C94" s="170"/>
      <c r="D94" s="96">
        <v>7</v>
      </c>
      <c r="E94" s="96">
        <v>18</v>
      </c>
      <c r="F94" s="96"/>
      <c r="G94" s="171" t="s">
        <v>77</v>
      </c>
      <c r="H94" s="69">
        <v>3637</v>
      </c>
      <c r="I94" s="70">
        <f>'[1]MihrlineDX'!G93</f>
        <v>8</v>
      </c>
      <c r="J94" s="69">
        <v>3637</v>
      </c>
      <c r="K94" s="68"/>
      <c r="L94" s="68"/>
      <c r="M94" s="68"/>
      <c r="N94" s="70">
        <v>11</v>
      </c>
      <c r="O94" s="10">
        <v>11</v>
      </c>
      <c r="P94" s="72">
        <v>48675</v>
      </c>
      <c r="Q94" s="72">
        <v>45516.5</v>
      </c>
      <c r="R94" s="72">
        <v>655934.5</v>
      </c>
      <c r="S94" s="72">
        <v>588643</v>
      </c>
      <c r="T94" s="73">
        <f t="shared" si="31"/>
        <v>24428684.5</v>
      </c>
      <c r="U94" s="76">
        <f>'[1]Annual'!R93</f>
        <v>0.56</v>
      </c>
      <c r="V94" s="72">
        <v>1205556.1315789474</v>
      </c>
      <c r="W94" s="166"/>
      <c r="X94" s="167">
        <v>5.665415058242138</v>
      </c>
      <c r="Y94" s="168">
        <f t="shared" si="16"/>
        <v>675111.4336842106</v>
      </c>
      <c r="Z94" s="72">
        <v>6829975.861403508</v>
      </c>
      <c r="AA94" s="81">
        <v>4597980.223623704</v>
      </c>
      <c r="AB94" s="81">
        <f t="shared" si="17"/>
        <v>3922868.7899394934</v>
      </c>
      <c r="AC94" s="82">
        <f t="shared" si="24"/>
        <v>101.01787755261728</v>
      </c>
      <c r="AD94" s="83"/>
      <c r="AE94" s="83">
        <f t="shared" si="25"/>
        <v>3.8139909898692257</v>
      </c>
      <c r="AF94" s="84">
        <f t="shared" si="32"/>
        <v>0.673205925896033</v>
      </c>
      <c r="AG94" s="85">
        <f t="shared" si="26"/>
        <v>26.486134293694537</v>
      </c>
      <c r="AH94" s="83"/>
      <c r="AI94" s="87">
        <f t="shared" si="27"/>
        <v>3.2539909898692256</v>
      </c>
      <c r="AJ94" s="109">
        <f t="shared" si="28"/>
        <v>0.5743605643041575</v>
      </c>
      <c r="AK94" s="83">
        <f t="shared" si="29"/>
        <v>86.18564234814833</v>
      </c>
      <c r="AL94" s="87">
        <f t="shared" si="30"/>
        <v>6.664257945714963</v>
      </c>
    </row>
    <row r="95" spans="1:38" ht="12.75" hidden="1">
      <c r="A95" s="1">
        <v>439</v>
      </c>
      <c r="B95" s="169"/>
      <c r="C95" s="170"/>
      <c r="D95" s="96">
        <v>18</v>
      </c>
      <c r="E95" s="96"/>
      <c r="F95" s="96"/>
      <c r="G95" s="171" t="s">
        <v>77</v>
      </c>
      <c r="H95" s="69">
        <v>2305</v>
      </c>
      <c r="I95" s="70">
        <f>'[1]MihrlineDX'!G99</f>
        <v>5</v>
      </c>
      <c r="J95" s="69">
        <v>3231</v>
      </c>
      <c r="K95" s="68"/>
      <c r="L95" s="68"/>
      <c r="M95" s="68"/>
      <c r="N95" s="70">
        <v>7</v>
      </c>
      <c r="O95" s="10">
        <v>9</v>
      </c>
      <c r="P95" s="72">
        <v>38522</v>
      </c>
      <c r="Q95" s="72">
        <v>35107.5</v>
      </c>
      <c r="R95" s="72">
        <v>612867.2</v>
      </c>
      <c r="S95" s="72">
        <v>526054</v>
      </c>
      <c r="T95" s="73">
        <f t="shared" si="31"/>
        <v>21831241</v>
      </c>
      <c r="U95" s="76">
        <f>'[1]Annual'!R99</f>
        <v>0.7</v>
      </c>
      <c r="V95" s="72">
        <v>586931.6210526316</v>
      </c>
      <c r="W95" s="166"/>
      <c r="X95" s="167">
        <v>10.175354704638416</v>
      </c>
      <c r="Y95" s="168">
        <f t="shared" si="16"/>
        <v>410852.1347368421</v>
      </c>
      <c r="Z95" s="72">
        <v>5972237.431578947</v>
      </c>
      <c r="AA95" s="81">
        <v>3730486.400226809</v>
      </c>
      <c r="AB95" s="81">
        <f t="shared" si="17"/>
        <v>3319634.265489967</v>
      </c>
      <c r="AC95" s="82">
        <f t="shared" si="24"/>
        <v>106.25895891837382</v>
      </c>
      <c r="AD95" s="83"/>
      <c r="AE95" s="83">
        <f t="shared" si="25"/>
        <v>6.355913136076011</v>
      </c>
      <c r="AF95" s="84">
        <f t="shared" si="32"/>
        <v>0.624637992538843</v>
      </c>
      <c r="AG95" s="85">
        <f t="shared" si="26"/>
        <v>16.718126356266655</v>
      </c>
      <c r="AH95" s="83"/>
      <c r="AI95" s="87">
        <f t="shared" si="27"/>
        <v>5.655913136076012</v>
      </c>
      <c r="AJ95" s="109">
        <f t="shared" si="28"/>
        <v>0.5558443219181121</v>
      </c>
      <c r="AK95" s="83">
        <f t="shared" si="29"/>
        <v>94.55627046898717</v>
      </c>
      <c r="AL95" s="87">
        <f t="shared" si="30"/>
        <v>6.3104439192363655</v>
      </c>
    </row>
    <row r="96" spans="1:38" ht="12.75" hidden="1">
      <c r="A96" s="1">
        <v>444</v>
      </c>
      <c r="B96" s="169"/>
      <c r="C96" s="170"/>
      <c r="D96" s="96">
        <v>18</v>
      </c>
      <c r="E96" s="96"/>
      <c r="F96" s="96"/>
      <c r="G96" s="171" t="s">
        <v>77</v>
      </c>
      <c r="H96" s="69">
        <v>3372</v>
      </c>
      <c r="I96" s="70">
        <f>'[1]MihrlineDX'!G100</f>
        <v>6</v>
      </c>
      <c r="J96" s="69">
        <v>2300</v>
      </c>
      <c r="K96" s="68"/>
      <c r="L96" s="68"/>
      <c r="M96" s="68"/>
      <c r="N96" s="70">
        <v>12</v>
      </c>
      <c r="O96" s="10">
        <v>8</v>
      </c>
      <c r="P96" s="72">
        <v>35347.8</v>
      </c>
      <c r="Q96" s="72">
        <v>30372</v>
      </c>
      <c r="R96" s="72">
        <v>708746.7</v>
      </c>
      <c r="S96" s="72">
        <v>560308.9</v>
      </c>
      <c r="T96" s="73">
        <f t="shared" si="31"/>
        <v>23252819.35</v>
      </c>
      <c r="U96" s="76">
        <f>'[1]Annual'!R100</f>
        <v>0.86</v>
      </c>
      <c r="V96" s="72">
        <v>677286.7777777778</v>
      </c>
      <c r="W96" s="166"/>
      <c r="X96" s="167">
        <v>10.478471758475523</v>
      </c>
      <c r="Y96" s="168">
        <f t="shared" si="16"/>
        <v>582466.6288888889</v>
      </c>
      <c r="Z96" s="72">
        <v>7096930.373333332</v>
      </c>
      <c r="AA96" s="81">
        <v>3709193.875047701</v>
      </c>
      <c r="AB96" s="81">
        <f t="shared" si="17"/>
        <v>3126727.246158812</v>
      </c>
      <c r="AC96" s="82">
        <f t="shared" si="24"/>
        <v>122.12544037428226</v>
      </c>
      <c r="AD96" s="83"/>
      <c r="AE96" s="83">
        <f t="shared" si="25"/>
        <v>5.476548482487447</v>
      </c>
      <c r="AF96" s="84">
        <f t="shared" si="32"/>
        <v>0.5226476349528483</v>
      </c>
      <c r="AG96" s="85">
        <f t="shared" si="26"/>
        <v>22.299709527781435</v>
      </c>
      <c r="AH96" s="83"/>
      <c r="AI96" s="87">
        <f t="shared" si="27"/>
        <v>4.616548482487446</v>
      </c>
      <c r="AJ96" s="109">
        <f t="shared" si="28"/>
        <v>0.44057459798499204</v>
      </c>
      <c r="AK96" s="83">
        <f t="shared" si="29"/>
        <v>102.94769018039024</v>
      </c>
      <c r="AL96" s="87">
        <f t="shared" si="30"/>
        <v>5.5803633427182975</v>
      </c>
    </row>
    <row r="97" spans="1:38" ht="12.75" hidden="1">
      <c r="A97" s="1">
        <v>445</v>
      </c>
      <c r="B97" s="169"/>
      <c r="C97" s="170"/>
      <c r="D97" s="96">
        <v>18</v>
      </c>
      <c r="E97" s="96"/>
      <c r="F97" s="96"/>
      <c r="G97" s="171" t="s">
        <v>77</v>
      </c>
      <c r="H97" s="69">
        <v>1842</v>
      </c>
      <c r="I97" s="70">
        <f>'[1]MihrlineDX'!G101</f>
        <v>3</v>
      </c>
      <c r="J97" s="69">
        <v>1946</v>
      </c>
      <c r="K97" s="68"/>
      <c r="L97" s="68"/>
      <c r="M97" s="68"/>
      <c r="N97" s="70">
        <v>6</v>
      </c>
      <c r="O97" s="10">
        <v>6</v>
      </c>
      <c r="P97" s="72">
        <v>23383</v>
      </c>
      <c r="Q97" s="72">
        <v>19827.5</v>
      </c>
      <c r="R97" s="72">
        <v>530838.5</v>
      </c>
      <c r="S97" s="72">
        <v>410613</v>
      </c>
      <c r="T97" s="73">
        <f t="shared" si="31"/>
        <v>17040439.5</v>
      </c>
      <c r="U97" s="76">
        <f>'[1]Annual'!R101</f>
        <v>1.34</v>
      </c>
      <c r="V97" s="72">
        <v>232453.84078947364</v>
      </c>
      <c r="W97" s="166"/>
      <c r="X97" s="167">
        <v>14.786042781174158</v>
      </c>
      <c r="Y97" s="168">
        <f t="shared" si="16"/>
        <v>311488.1466578947</v>
      </c>
      <c r="Z97" s="72">
        <v>3437072.434561404</v>
      </c>
      <c r="AA97" s="81">
        <v>2490763.869855082</v>
      </c>
      <c r="AB97" s="81">
        <f t="shared" si="17"/>
        <v>2179275.7231971873</v>
      </c>
      <c r="AC97" s="82">
        <f t="shared" si="24"/>
        <v>125.62168048695409</v>
      </c>
      <c r="AD97" s="83"/>
      <c r="AE97" s="83">
        <f t="shared" si="25"/>
        <v>10.715090193372589</v>
      </c>
      <c r="AF97" s="84">
        <f t="shared" si="32"/>
        <v>0.7246759901855028</v>
      </c>
      <c r="AG97" s="85">
        <f t="shared" si="26"/>
        <v>11.723809899859974</v>
      </c>
      <c r="AH97" s="83"/>
      <c r="AI97" s="87">
        <f t="shared" si="27"/>
        <v>9.375090193372587</v>
      </c>
      <c r="AJ97" s="109">
        <f t="shared" si="28"/>
        <v>0.6340499843074384</v>
      </c>
      <c r="AK97" s="83">
        <f t="shared" si="29"/>
        <v>109.91177522114171</v>
      </c>
      <c r="AL97" s="87">
        <f t="shared" si="30"/>
        <v>5.307371474349782</v>
      </c>
    </row>
    <row r="98" spans="1:38" ht="12.75" hidden="1">
      <c r="A98" s="1">
        <v>446</v>
      </c>
      <c r="B98" s="169"/>
      <c r="C98" s="170"/>
      <c r="D98" s="96">
        <v>10</v>
      </c>
      <c r="E98" s="96">
        <v>18</v>
      </c>
      <c r="F98" s="96"/>
      <c r="G98" s="171" t="s">
        <v>77</v>
      </c>
      <c r="H98" s="69">
        <v>3684</v>
      </c>
      <c r="I98" s="70">
        <f>'[1]MihrlineDX'!G102</f>
        <v>9</v>
      </c>
      <c r="J98" s="69">
        <v>3892</v>
      </c>
      <c r="K98" s="68"/>
      <c r="L98" s="68"/>
      <c r="M98" s="68"/>
      <c r="N98" s="70">
        <v>12</v>
      </c>
      <c r="O98" s="10">
        <v>12</v>
      </c>
      <c r="P98" s="72">
        <v>54055.9</v>
      </c>
      <c r="Q98" s="72">
        <v>51188.8</v>
      </c>
      <c r="R98" s="72">
        <v>904661</v>
      </c>
      <c r="S98" s="72">
        <v>816001.2</v>
      </c>
      <c r="T98" s="73">
        <f t="shared" si="31"/>
        <v>33864049.8</v>
      </c>
      <c r="U98" s="76">
        <f>'[1]Annual'!R102</f>
        <v>0.7</v>
      </c>
      <c r="V98" s="72">
        <v>1423456.5946428573</v>
      </c>
      <c r="W98" s="166"/>
      <c r="X98" s="167">
        <v>7.970855205545286</v>
      </c>
      <c r="Y98" s="168">
        <f aca="true" t="shared" si="33" ref="Y98:Y116">U98*V98</f>
        <v>996419.6162500001</v>
      </c>
      <c r="Z98" s="72">
        <v>11346166.407276785</v>
      </c>
      <c r="AA98" s="81">
        <v>5690799.405842544</v>
      </c>
      <c r="AB98" s="81">
        <f aca="true" t="shared" si="34" ref="AB98:AB116">AA98-Y98</f>
        <v>4694379.789592544</v>
      </c>
      <c r="AC98" s="82">
        <f t="shared" si="24"/>
        <v>111.17274493331634</v>
      </c>
      <c r="AD98" s="83"/>
      <c r="AE98" s="83">
        <f t="shared" si="25"/>
        <v>3.9978735054231525</v>
      </c>
      <c r="AF98" s="84">
        <f t="shared" si="32"/>
        <v>0.5015614262622474</v>
      </c>
      <c r="AG98" s="85">
        <f t="shared" si="26"/>
        <v>27.80796960746994</v>
      </c>
      <c r="AH98" s="83"/>
      <c r="AI98" s="87">
        <f t="shared" si="27"/>
        <v>3.2978735054231527</v>
      </c>
      <c r="AJ98" s="109">
        <f t="shared" si="28"/>
        <v>0.41374148951154427</v>
      </c>
      <c r="AK98" s="83">
        <f t="shared" si="29"/>
        <v>91.70716620808739</v>
      </c>
      <c r="AL98" s="87">
        <f t="shared" si="30"/>
        <v>5.752907948655644</v>
      </c>
    </row>
    <row r="99" spans="1:38" ht="12.75" hidden="1">
      <c r="A99" s="1">
        <v>550</v>
      </c>
      <c r="B99" s="169"/>
      <c r="C99" s="170"/>
      <c r="D99" s="96">
        <v>7</v>
      </c>
      <c r="E99" s="96">
        <v>18</v>
      </c>
      <c r="F99" s="96"/>
      <c r="G99" s="171" t="s">
        <v>77</v>
      </c>
      <c r="H99" s="69">
        <v>3174</v>
      </c>
      <c r="I99" s="70">
        <f>'[1]MihrlineDX'!G110</f>
        <v>5</v>
      </c>
      <c r="J99" s="69">
        <v>3382</v>
      </c>
      <c r="K99" s="68"/>
      <c r="L99" s="68"/>
      <c r="M99" s="68"/>
      <c r="N99" s="70">
        <v>10</v>
      </c>
      <c r="O99" s="10">
        <v>10</v>
      </c>
      <c r="P99" s="72">
        <v>41149.5</v>
      </c>
      <c r="Q99" s="72">
        <v>38629</v>
      </c>
      <c r="R99" s="72">
        <v>883791</v>
      </c>
      <c r="S99" s="72">
        <v>813397.5</v>
      </c>
      <c r="T99" s="73">
        <f t="shared" si="31"/>
        <v>33755996.25</v>
      </c>
      <c r="U99" s="76">
        <f>'[1]Annual'!R110</f>
        <v>0.7</v>
      </c>
      <c r="V99" s="72">
        <v>936685.8459770116</v>
      </c>
      <c r="W99" s="166"/>
      <c r="X99" s="167">
        <v>9.37642202923306</v>
      </c>
      <c r="Y99" s="168">
        <f t="shared" si="33"/>
        <v>655680.0921839081</v>
      </c>
      <c r="Z99" s="72">
        <v>8782761.800689656</v>
      </c>
      <c r="AA99" s="81">
        <v>4863460.463572465</v>
      </c>
      <c r="AB99" s="81">
        <f t="shared" si="34"/>
        <v>4207780.371388556</v>
      </c>
      <c r="AC99" s="82">
        <f t="shared" si="24"/>
        <v>125.90179563469064</v>
      </c>
      <c r="AD99" s="83"/>
      <c r="AE99" s="83">
        <f t="shared" si="25"/>
        <v>5.192200228561823</v>
      </c>
      <c r="AF99" s="84">
        <f t="shared" si="32"/>
        <v>0.5537506964142609</v>
      </c>
      <c r="AG99" s="85">
        <f t="shared" si="26"/>
        <v>24.248255092728563</v>
      </c>
      <c r="AH99" s="83"/>
      <c r="AI99" s="87">
        <f t="shared" si="27"/>
        <v>4.492200228561823</v>
      </c>
      <c r="AJ99" s="109">
        <f t="shared" si="28"/>
        <v>0.4790953537027664</v>
      </c>
      <c r="AK99" s="83">
        <f t="shared" si="29"/>
        <v>108.92801706978064</v>
      </c>
      <c r="AL99" s="87">
        <f t="shared" si="30"/>
        <v>5.1730923335620735</v>
      </c>
    </row>
    <row r="100" spans="1:38" ht="12.75" hidden="1">
      <c r="A100" s="1">
        <v>754</v>
      </c>
      <c r="B100" s="169"/>
      <c r="C100" s="170"/>
      <c r="D100" s="96">
        <v>5</v>
      </c>
      <c r="E100" s="96"/>
      <c r="F100" s="96"/>
      <c r="G100" s="171" t="s">
        <v>77</v>
      </c>
      <c r="H100" s="69">
        <v>9866</v>
      </c>
      <c r="I100" s="70">
        <f>'[1]MihrlineDX'!G117</f>
        <v>18</v>
      </c>
      <c r="J100" s="69">
        <v>9564</v>
      </c>
      <c r="K100" s="68"/>
      <c r="L100" s="68"/>
      <c r="M100" s="68"/>
      <c r="N100" s="70">
        <v>34</v>
      </c>
      <c r="O100" s="10">
        <v>32</v>
      </c>
      <c r="P100" s="72">
        <v>112018.1</v>
      </c>
      <c r="Q100" s="72">
        <v>100824.7</v>
      </c>
      <c r="R100" s="72">
        <v>1654599.8</v>
      </c>
      <c r="S100" s="72">
        <v>1448966.2</v>
      </c>
      <c r="T100" s="73">
        <f t="shared" si="31"/>
        <v>60132097.3</v>
      </c>
      <c r="U100" s="76">
        <f>'[1]Annual'!R117</f>
        <v>0.56</v>
      </c>
      <c r="V100" s="72">
        <v>7210000</v>
      </c>
      <c r="W100" s="166"/>
      <c r="X100" s="167">
        <f>Z100/V100</f>
        <v>3.575173370319001</v>
      </c>
      <c r="Y100" s="168">
        <f t="shared" si="33"/>
        <v>4037600.0000000005</v>
      </c>
      <c r="Z100" s="72">
        <v>25777000</v>
      </c>
      <c r="AA100" s="81">
        <v>10793932.62200937</v>
      </c>
      <c r="AB100" s="81">
        <f t="shared" si="34"/>
        <v>6756332.6220093705</v>
      </c>
      <c r="AC100" s="82">
        <f t="shared" si="24"/>
        <v>107.05643182681794</v>
      </c>
      <c r="AD100" s="83"/>
      <c r="AE100" s="83">
        <f t="shared" si="25"/>
        <v>1.4970780335657934</v>
      </c>
      <c r="AF100" s="84">
        <f t="shared" si="32"/>
        <v>0.4187427792997389</v>
      </c>
      <c r="AG100" s="85">
        <f t="shared" si="26"/>
        <v>71.51025492761198</v>
      </c>
      <c r="AH100" s="83"/>
      <c r="AI100" s="87">
        <f t="shared" si="27"/>
        <v>0.9370780335657934</v>
      </c>
      <c r="AJ100" s="109">
        <f t="shared" si="28"/>
        <v>0.26210701873799785</v>
      </c>
      <c r="AK100" s="83">
        <f t="shared" si="29"/>
        <v>67.01068906735523</v>
      </c>
      <c r="AL100" s="87">
        <f t="shared" si="30"/>
        <v>4.662864200703488</v>
      </c>
    </row>
    <row r="101" spans="1:38" ht="12.75" hidden="1">
      <c r="A101" s="70">
        <v>2</v>
      </c>
      <c r="B101" s="164"/>
      <c r="C101" s="165"/>
      <c r="D101" s="66">
        <v>7</v>
      </c>
      <c r="E101" s="66">
        <v>10</v>
      </c>
      <c r="F101" s="66"/>
      <c r="G101" s="68" t="s">
        <v>78</v>
      </c>
      <c r="H101" s="69">
        <v>13186</v>
      </c>
      <c r="I101" s="70">
        <f>'[1]MihrlineDX'!G8</f>
        <v>19</v>
      </c>
      <c r="J101" s="69">
        <v>11968</v>
      </c>
      <c r="K101" s="68"/>
      <c r="L101" s="68"/>
      <c r="M101" s="68"/>
      <c r="N101" s="70">
        <v>46</v>
      </c>
      <c r="O101" s="10">
        <v>40</v>
      </c>
      <c r="P101" s="72">
        <v>158567.6</v>
      </c>
      <c r="Q101" s="72">
        <v>143436.8</v>
      </c>
      <c r="R101" s="72">
        <v>2040709.8</v>
      </c>
      <c r="S101" s="72">
        <v>1650987.7</v>
      </c>
      <c r="T101" s="73">
        <f t="shared" si="31"/>
        <v>68515989.55</v>
      </c>
      <c r="U101" s="76">
        <f>'[1]Annual'!R8</f>
        <v>0.56</v>
      </c>
      <c r="V101" s="72">
        <v>7502155.972344331</v>
      </c>
      <c r="W101" s="166"/>
      <c r="X101" s="167">
        <v>4.097796369974028</v>
      </c>
      <c r="Y101" s="168">
        <f t="shared" si="33"/>
        <v>4201207.344512826</v>
      </c>
      <c r="Z101" s="72">
        <v>30742307.510451574</v>
      </c>
      <c r="AA101" s="81">
        <v>14141021.4251378</v>
      </c>
      <c r="AB101" s="81">
        <f t="shared" si="34"/>
        <v>9939814.080624973</v>
      </c>
      <c r="AC101" s="82">
        <f t="shared" si="24"/>
        <v>98.58712286622261</v>
      </c>
      <c r="AD101" s="83"/>
      <c r="AE101" s="83">
        <f t="shared" si="25"/>
        <v>1.8849276764261813</v>
      </c>
      <c r="AF101" s="84">
        <f t="shared" si="32"/>
        <v>0.45998568651134025</v>
      </c>
      <c r="AG101" s="85">
        <f t="shared" si="26"/>
        <v>52.302867690469476</v>
      </c>
      <c r="AH101" s="83"/>
      <c r="AI101" s="87">
        <f t="shared" si="27"/>
        <v>1.3249276764261813</v>
      </c>
      <c r="AJ101" s="109">
        <f t="shared" si="28"/>
        <v>0.3233268705430033</v>
      </c>
      <c r="AK101" s="83">
        <f t="shared" si="29"/>
        <v>69.29751695955972</v>
      </c>
      <c r="AL101" s="87">
        <f t="shared" si="30"/>
        <v>6.020525822587881</v>
      </c>
    </row>
    <row r="102" spans="1:38" ht="12.75" hidden="1">
      <c r="A102" s="70">
        <v>4</v>
      </c>
      <c r="B102" s="164"/>
      <c r="C102" s="165"/>
      <c r="D102" s="66">
        <v>6</v>
      </c>
      <c r="E102" s="66">
        <v>7</v>
      </c>
      <c r="F102" s="66">
        <v>10</v>
      </c>
      <c r="G102" s="68" t="s">
        <v>78</v>
      </c>
      <c r="H102" s="69">
        <v>17650</v>
      </c>
      <c r="I102" s="70">
        <f>'[1]MihrlineDX'!G9</f>
        <v>31</v>
      </c>
      <c r="J102" s="69">
        <v>16952</v>
      </c>
      <c r="K102" s="68"/>
      <c r="L102" s="68"/>
      <c r="M102" s="68"/>
      <c r="N102" s="70">
        <v>58</v>
      </c>
      <c r="O102" s="10">
        <v>52</v>
      </c>
      <c r="P102" s="72">
        <v>233248.8</v>
      </c>
      <c r="Q102" s="72">
        <v>216851.9</v>
      </c>
      <c r="R102" s="72">
        <v>2684533.1</v>
      </c>
      <c r="S102" s="72">
        <v>2262246</v>
      </c>
      <c r="T102" s="73">
        <f t="shared" si="31"/>
        <v>93883209</v>
      </c>
      <c r="U102" s="76">
        <f>'[1]Annual'!R9</f>
        <v>0.56</v>
      </c>
      <c r="V102" s="72">
        <v>11775768.027241163</v>
      </c>
      <c r="W102" s="166"/>
      <c r="X102" s="167">
        <v>4.111218327966066</v>
      </c>
      <c r="Y102" s="168">
        <f t="shared" si="33"/>
        <v>6594430.095255052</v>
      </c>
      <c r="Z102" s="72">
        <v>48412753.33947068</v>
      </c>
      <c r="AA102" s="81">
        <v>20522476.547806002</v>
      </c>
      <c r="AB102" s="81">
        <f t="shared" si="34"/>
        <v>13928046.452550951</v>
      </c>
      <c r="AC102" s="82">
        <f aca="true" t="shared" si="35" ref="AC102:AC116">AA102/Q102</f>
        <v>94.6382141351125</v>
      </c>
      <c r="AD102" s="83"/>
      <c r="AE102" s="83">
        <f aca="true" t="shared" si="36" ref="AE102:AE116">AA102/V102</f>
        <v>1.7427718090515092</v>
      </c>
      <c r="AF102" s="84">
        <f t="shared" si="32"/>
        <v>0.423906411682521</v>
      </c>
      <c r="AG102" s="85">
        <f t="shared" si="26"/>
        <v>54.30327346562868</v>
      </c>
      <c r="AH102" s="83"/>
      <c r="AI102" s="87">
        <f aca="true" t="shared" si="37" ref="AI102:AI116">AB102/V102</f>
        <v>1.1827718090515091</v>
      </c>
      <c r="AJ102" s="109">
        <f aca="true" t="shared" si="38" ref="AJ102:AJ116">AB102/Z102</f>
        <v>0.2876937478620016</v>
      </c>
      <c r="AK102" s="83">
        <f aca="true" t="shared" si="39" ref="AK102:AK116">AB102/Q102</f>
        <v>64.22838099436045</v>
      </c>
      <c r="AL102" s="87">
        <f aca="true" t="shared" si="40" ref="AL102:AL116">AB102/S102</f>
        <v>6.156733817874339</v>
      </c>
    </row>
    <row r="103" spans="1:38" ht="12.75" hidden="1">
      <c r="A103" s="70">
        <v>10</v>
      </c>
      <c r="B103" s="164"/>
      <c r="C103" s="165"/>
      <c r="D103" s="66">
        <v>2</v>
      </c>
      <c r="E103" s="66">
        <v>7</v>
      </c>
      <c r="F103" s="66"/>
      <c r="G103" s="68" t="s">
        <v>78</v>
      </c>
      <c r="H103" s="69">
        <v>7977</v>
      </c>
      <c r="I103" s="70">
        <f>'[1]MihrlineDX'!G10</f>
        <v>13</v>
      </c>
      <c r="J103" s="69">
        <v>9361</v>
      </c>
      <c r="K103" s="68"/>
      <c r="L103" s="68"/>
      <c r="M103" s="68"/>
      <c r="N103" s="70">
        <v>27</v>
      </c>
      <c r="O103" s="10">
        <v>31</v>
      </c>
      <c r="P103" s="72">
        <v>100210.5</v>
      </c>
      <c r="Q103" s="72">
        <v>93936.2</v>
      </c>
      <c r="R103" s="72">
        <v>1085100.9</v>
      </c>
      <c r="S103" s="72">
        <v>951198.6</v>
      </c>
      <c r="T103" s="73">
        <f t="shared" si="31"/>
        <v>39474741.9</v>
      </c>
      <c r="U103" s="76">
        <f>'[1]Annual'!R10</f>
        <v>0.56</v>
      </c>
      <c r="V103" s="72">
        <v>5199984.521090878</v>
      </c>
      <c r="W103" s="166"/>
      <c r="X103" s="167">
        <v>3.285407081597209</v>
      </c>
      <c r="Y103" s="168">
        <f t="shared" si="33"/>
        <v>2911991.331810892</v>
      </c>
      <c r="Z103" s="72">
        <v>17084065.969787844</v>
      </c>
      <c r="AA103" s="81">
        <v>8847748.516302526</v>
      </c>
      <c r="AB103" s="81">
        <f t="shared" si="34"/>
        <v>5935757.184491634</v>
      </c>
      <c r="AC103" s="82">
        <f t="shared" si="35"/>
        <v>94.1889124352755</v>
      </c>
      <c r="AD103" s="83"/>
      <c r="AE103" s="83">
        <f t="shared" si="36"/>
        <v>1.7014951641522198</v>
      </c>
      <c r="AF103" s="84">
        <f t="shared" si="32"/>
        <v>0.5178947758659586</v>
      </c>
      <c r="AG103" s="85">
        <f t="shared" si="26"/>
        <v>55.35655605709916</v>
      </c>
      <c r="AH103" s="83"/>
      <c r="AI103" s="87">
        <f t="shared" si="37"/>
        <v>1.14149516415222</v>
      </c>
      <c r="AJ103" s="109">
        <f t="shared" si="38"/>
        <v>0.3474440566425269</v>
      </c>
      <c r="AK103" s="83">
        <f t="shared" si="39"/>
        <v>63.18924104329997</v>
      </c>
      <c r="AL103" s="87">
        <f t="shared" si="40"/>
        <v>6.240292179247987</v>
      </c>
    </row>
    <row r="104" spans="1:38" ht="12.75" hidden="1">
      <c r="A104" s="70">
        <v>14</v>
      </c>
      <c r="B104" s="164"/>
      <c r="C104" s="165"/>
      <c r="D104" s="66">
        <v>7</v>
      </c>
      <c r="E104" s="66"/>
      <c r="F104" s="66"/>
      <c r="G104" s="68" t="s">
        <v>78</v>
      </c>
      <c r="H104" s="69">
        <v>9871</v>
      </c>
      <c r="I104" s="70">
        <f>'[1]MihrlineDX'!G11</f>
        <v>17</v>
      </c>
      <c r="J104" s="69">
        <v>8747</v>
      </c>
      <c r="K104" s="68"/>
      <c r="L104" s="68"/>
      <c r="M104" s="68"/>
      <c r="N104" s="70">
        <v>33</v>
      </c>
      <c r="O104" s="10">
        <v>29</v>
      </c>
      <c r="P104" s="72">
        <v>117276.7</v>
      </c>
      <c r="Q104" s="72">
        <v>110469.2</v>
      </c>
      <c r="R104" s="72">
        <v>1254575.2</v>
      </c>
      <c r="S104" s="72">
        <v>1154620.8</v>
      </c>
      <c r="T104" s="73">
        <f t="shared" si="31"/>
        <v>47916763.2</v>
      </c>
      <c r="U104" s="76">
        <f>'[1]Annual'!R11</f>
        <v>0.56</v>
      </c>
      <c r="V104" s="72">
        <v>7263822.64468085</v>
      </c>
      <c r="W104" s="166"/>
      <c r="X104" s="167">
        <v>3.3663743167868336</v>
      </c>
      <c r="Y104" s="168">
        <f t="shared" si="33"/>
        <v>4067740.6810212764</v>
      </c>
      <c r="Z104" s="72">
        <v>24452745.992748227</v>
      </c>
      <c r="AA104" s="81">
        <v>10502572.625226686</v>
      </c>
      <c r="AB104" s="81">
        <f t="shared" si="34"/>
        <v>6434831.944205409</v>
      </c>
      <c r="AC104" s="82">
        <f t="shared" si="35"/>
        <v>95.07240593058233</v>
      </c>
      <c r="AD104" s="83"/>
      <c r="AE104" s="83">
        <f t="shared" si="36"/>
        <v>1.4458740444217077</v>
      </c>
      <c r="AF104" s="84">
        <f t="shared" si="32"/>
        <v>0.4295048346856978</v>
      </c>
      <c r="AG104" s="85">
        <f t="shared" si="26"/>
        <v>65.75427942522305</v>
      </c>
      <c r="AH104" s="83"/>
      <c r="AI104" s="87">
        <f t="shared" si="37"/>
        <v>0.8858740444217076</v>
      </c>
      <c r="AJ104" s="109">
        <f t="shared" si="38"/>
        <v>0.26315375566056015</v>
      </c>
      <c r="AK104" s="83">
        <f t="shared" si="39"/>
        <v>58.25000945245742</v>
      </c>
      <c r="AL104" s="87">
        <f t="shared" si="40"/>
        <v>5.573112786644246</v>
      </c>
    </row>
    <row r="105" spans="1:38" ht="12.75" hidden="1">
      <c r="A105" s="70">
        <v>16</v>
      </c>
      <c r="B105" s="164"/>
      <c r="C105" s="165"/>
      <c r="D105" s="66">
        <v>1</v>
      </c>
      <c r="E105" s="66">
        <v>7</v>
      </c>
      <c r="F105" s="66"/>
      <c r="G105" s="68" t="s">
        <v>78</v>
      </c>
      <c r="H105" s="69">
        <v>12166</v>
      </c>
      <c r="I105" s="70">
        <f>'[1]MihrlineDX'!G12</f>
        <v>16</v>
      </c>
      <c r="J105" s="69">
        <v>13196</v>
      </c>
      <c r="K105" s="68"/>
      <c r="L105" s="68"/>
      <c r="M105" s="68"/>
      <c r="N105" s="70">
        <v>42</v>
      </c>
      <c r="O105" s="10">
        <v>44</v>
      </c>
      <c r="P105" s="72">
        <v>141697.1</v>
      </c>
      <c r="Q105" s="72">
        <v>132793</v>
      </c>
      <c r="R105" s="72">
        <v>1552457.4</v>
      </c>
      <c r="S105" s="72">
        <v>1361147.3</v>
      </c>
      <c r="T105" s="73">
        <f t="shared" si="31"/>
        <v>56487612.95</v>
      </c>
      <c r="U105" s="76">
        <f>'[1]Annual'!R12</f>
        <v>0.56</v>
      </c>
      <c r="V105" s="72">
        <v>8480672.627803337</v>
      </c>
      <c r="W105" s="166"/>
      <c r="X105" s="167">
        <v>2.8721348488724154</v>
      </c>
      <c r="Y105" s="168">
        <f t="shared" si="33"/>
        <v>4749176.671569869</v>
      </c>
      <c r="Z105" s="72">
        <v>24357635.396192368</v>
      </c>
      <c r="AA105" s="81">
        <v>12589081.45197984</v>
      </c>
      <c r="AB105" s="81">
        <f t="shared" si="34"/>
        <v>7839904.780409971</v>
      </c>
      <c r="AC105" s="82">
        <f t="shared" si="35"/>
        <v>94.80229719924876</v>
      </c>
      <c r="AD105" s="83"/>
      <c r="AE105" s="83">
        <f t="shared" si="36"/>
        <v>1.4844437469154688</v>
      </c>
      <c r="AF105" s="84">
        <f t="shared" si="32"/>
        <v>0.516843332581774</v>
      </c>
      <c r="AG105" s="85">
        <f t="shared" si="26"/>
        <v>63.86385297269688</v>
      </c>
      <c r="AH105" s="83"/>
      <c r="AI105" s="87">
        <f t="shared" si="37"/>
        <v>0.9244437469154687</v>
      </c>
      <c r="AJ105" s="109">
        <f t="shared" si="38"/>
        <v>0.3218664148998437</v>
      </c>
      <c r="AK105" s="83">
        <f t="shared" si="39"/>
        <v>59.0385395345385</v>
      </c>
      <c r="AL105" s="87">
        <f t="shared" si="40"/>
        <v>5.759776903212438</v>
      </c>
    </row>
    <row r="106" spans="1:38" ht="12.75" hidden="1">
      <c r="A106" s="70">
        <v>18</v>
      </c>
      <c r="B106" s="164"/>
      <c r="C106" s="165"/>
      <c r="D106" s="66">
        <v>1</v>
      </c>
      <c r="E106" s="66"/>
      <c r="F106" s="66"/>
      <c r="G106" s="68" t="s">
        <v>78</v>
      </c>
      <c r="H106" s="69">
        <v>8034</v>
      </c>
      <c r="I106" s="70">
        <f>'[1]MihrlineDX'!G13</f>
        <v>16</v>
      </c>
      <c r="J106" s="69">
        <v>9064</v>
      </c>
      <c r="K106" s="68"/>
      <c r="L106" s="68"/>
      <c r="M106" s="68"/>
      <c r="N106" s="70">
        <v>26</v>
      </c>
      <c r="O106" s="10">
        <v>28</v>
      </c>
      <c r="P106" s="72">
        <v>122142.1</v>
      </c>
      <c r="Q106" s="72">
        <v>114054.9</v>
      </c>
      <c r="R106" s="72">
        <v>1240201.6</v>
      </c>
      <c r="S106" s="72">
        <v>1080545.9</v>
      </c>
      <c r="T106" s="73">
        <f t="shared" si="31"/>
        <v>44842654.849999994</v>
      </c>
      <c r="U106" s="76">
        <f>'[1]Annual'!R13</f>
        <v>0.56</v>
      </c>
      <c r="V106" s="72">
        <v>8042992.269522216</v>
      </c>
      <c r="W106" s="166"/>
      <c r="X106" s="167">
        <v>2.765907253788741</v>
      </c>
      <c r="Y106" s="168">
        <f t="shared" si="33"/>
        <v>4504075.670932442</v>
      </c>
      <c r="Z106" s="72">
        <v>22246170.660438266</v>
      </c>
      <c r="AA106" s="81">
        <v>10387683.897748522</v>
      </c>
      <c r="AB106" s="81">
        <f t="shared" si="34"/>
        <v>5883608.2268160805</v>
      </c>
      <c r="AC106" s="82">
        <f t="shared" si="35"/>
        <v>91.07617382285656</v>
      </c>
      <c r="AD106" s="83"/>
      <c r="AE106" s="83">
        <f t="shared" si="36"/>
        <v>1.2915198162145678</v>
      </c>
      <c r="AF106" s="84">
        <f t="shared" si="32"/>
        <v>0.4669425608705583</v>
      </c>
      <c r="AG106" s="85">
        <f t="shared" si="26"/>
        <v>70.51860349289873</v>
      </c>
      <c r="AH106" s="83"/>
      <c r="AI106" s="87">
        <f t="shared" si="37"/>
        <v>0.7315198162145677</v>
      </c>
      <c r="AJ106" s="109">
        <f t="shared" si="38"/>
        <v>0.2644773483321003</v>
      </c>
      <c r="AK106" s="83">
        <f t="shared" si="39"/>
        <v>51.58575586683326</v>
      </c>
      <c r="AL106" s="87">
        <f t="shared" si="40"/>
        <v>5.44503313261943</v>
      </c>
    </row>
    <row r="107" spans="1:38" ht="12.75" hidden="1">
      <c r="A107" s="70">
        <v>20</v>
      </c>
      <c r="B107" s="164"/>
      <c r="C107" s="165"/>
      <c r="D107" s="66">
        <v>6</v>
      </c>
      <c r="E107" s="66">
        <v>10</v>
      </c>
      <c r="F107" s="66"/>
      <c r="G107" s="68" t="s">
        <v>78</v>
      </c>
      <c r="H107" s="69">
        <v>11359</v>
      </c>
      <c r="I107" s="70">
        <f>'[1]MihrlineDX'!G14</f>
        <v>18</v>
      </c>
      <c r="J107" s="69">
        <v>11307</v>
      </c>
      <c r="K107" s="68"/>
      <c r="L107" s="68"/>
      <c r="M107" s="68"/>
      <c r="N107" s="70">
        <v>37</v>
      </c>
      <c r="O107" s="10">
        <v>37</v>
      </c>
      <c r="P107" s="72">
        <v>151454.8</v>
      </c>
      <c r="Q107" s="72">
        <v>137797.2</v>
      </c>
      <c r="R107" s="72">
        <v>1730985.3</v>
      </c>
      <c r="S107" s="72">
        <v>1438653.2</v>
      </c>
      <c r="T107" s="73">
        <f t="shared" si="31"/>
        <v>59704107.8</v>
      </c>
      <c r="U107" s="76">
        <f>'[1]Annual'!R14</f>
        <v>0.56</v>
      </c>
      <c r="V107" s="72">
        <v>7368927.121058676</v>
      </c>
      <c r="W107" s="166"/>
      <c r="X107" s="167">
        <v>3.8903757646151167</v>
      </c>
      <c r="Y107" s="168">
        <f t="shared" si="33"/>
        <v>4126599.187792859</v>
      </c>
      <c r="Z107" s="72">
        <v>28667895.48298172</v>
      </c>
      <c r="AA107" s="81">
        <v>13014614.1528498</v>
      </c>
      <c r="AB107" s="81">
        <f t="shared" si="34"/>
        <v>8888014.96505694</v>
      </c>
      <c r="AC107" s="82">
        <f t="shared" si="35"/>
        <v>94.44759510969598</v>
      </c>
      <c r="AD107" s="83"/>
      <c r="AE107" s="83">
        <f t="shared" si="36"/>
        <v>1.7661477633096774</v>
      </c>
      <c r="AF107" s="84">
        <f t="shared" si="32"/>
        <v>0.45397870801418744</v>
      </c>
      <c r="AG107" s="85">
        <f t="shared" si="26"/>
        <v>53.476609982341266</v>
      </c>
      <c r="AH107" s="83"/>
      <c r="AI107" s="87">
        <f t="shared" si="37"/>
        <v>1.206147763309677</v>
      </c>
      <c r="AJ107" s="109">
        <f t="shared" si="38"/>
        <v>0.31003374385584676</v>
      </c>
      <c r="AK107" s="83">
        <f t="shared" si="39"/>
        <v>64.50069351958487</v>
      </c>
      <c r="AL107" s="87">
        <f t="shared" si="40"/>
        <v>6.178010770807684</v>
      </c>
    </row>
    <row r="108" spans="1:38" ht="12.75" hidden="1">
      <c r="A108" s="70">
        <v>22</v>
      </c>
      <c r="B108" s="164"/>
      <c r="C108" s="165"/>
      <c r="D108" s="66">
        <v>6</v>
      </c>
      <c r="E108" s="66"/>
      <c r="F108" s="66"/>
      <c r="G108" s="68" t="s">
        <v>78</v>
      </c>
      <c r="H108" s="69">
        <v>718</v>
      </c>
      <c r="I108" s="70">
        <f>'[1]MihrlineDX'!G15</f>
        <v>2</v>
      </c>
      <c r="J108" s="69">
        <v>718</v>
      </c>
      <c r="K108" s="68"/>
      <c r="L108" s="68"/>
      <c r="M108" s="68"/>
      <c r="N108" s="70">
        <v>2</v>
      </c>
      <c r="O108" s="10">
        <v>2</v>
      </c>
      <c r="P108" s="72">
        <v>11982.8</v>
      </c>
      <c r="Q108" s="72">
        <v>10953.5</v>
      </c>
      <c r="R108" s="72">
        <v>150042</v>
      </c>
      <c r="S108" s="72">
        <v>122775</v>
      </c>
      <c r="T108" s="73">
        <f t="shared" si="31"/>
        <v>5095162.5</v>
      </c>
      <c r="U108" s="76">
        <f>'[1]Annual'!R15</f>
        <v>0.56</v>
      </c>
      <c r="V108" s="72">
        <v>111579.46666666666</v>
      </c>
      <c r="W108" s="166"/>
      <c r="X108" s="167">
        <v>3.9833342096395277</v>
      </c>
      <c r="Y108" s="168">
        <f t="shared" si="33"/>
        <v>62484.50133333333</v>
      </c>
      <c r="Z108" s="72">
        <v>444458.30666666664</v>
      </c>
      <c r="AA108" s="81">
        <v>1054879.4983727</v>
      </c>
      <c r="AB108" s="81">
        <f t="shared" si="34"/>
        <v>992394.9970393667</v>
      </c>
      <c r="AC108" s="82">
        <f t="shared" si="35"/>
        <v>96.30524475032638</v>
      </c>
      <c r="AD108" s="83"/>
      <c r="AE108" s="83">
        <f t="shared" si="36"/>
        <v>9.454064711781202</v>
      </c>
      <c r="AF108" s="84">
        <f t="shared" si="32"/>
        <v>2.3734048448414646</v>
      </c>
      <c r="AG108" s="85">
        <f t="shared" si="26"/>
        <v>10.186649624929625</v>
      </c>
      <c r="AH108" s="83"/>
      <c r="AI108" s="87">
        <f t="shared" si="37"/>
        <v>8.894064711781201</v>
      </c>
      <c r="AJ108" s="109">
        <f t="shared" si="38"/>
        <v>2.232819101710793</v>
      </c>
      <c r="AK108" s="83">
        <f t="shared" si="39"/>
        <v>90.60072096036579</v>
      </c>
      <c r="AL108" s="87">
        <f t="shared" si="40"/>
        <v>8.083038053670265</v>
      </c>
    </row>
    <row r="109" spans="1:38" ht="12.75" hidden="1">
      <c r="A109" s="70">
        <v>30</v>
      </c>
      <c r="B109" s="164"/>
      <c r="C109" s="165"/>
      <c r="D109" s="66">
        <v>10</v>
      </c>
      <c r="E109" s="66"/>
      <c r="F109" s="66"/>
      <c r="G109" s="68" t="s">
        <v>78</v>
      </c>
      <c r="H109" s="69">
        <v>10485</v>
      </c>
      <c r="I109" s="70">
        <f>'[1]MihrlineDX'!G18</f>
        <v>21</v>
      </c>
      <c r="J109" s="69">
        <v>12129</v>
      </c>
      <c r="K109" s="68"/>
      <c r="L109" s="68"/>
      <c r="M109" s="68"/>
      <c r="N109" s="70">
        <v>35</v>
      </c>
      <c r="O109" s="10">
        <v>39</v>
      </c>
      <c r="P109" s="72">
        <v>147643.2</v>
      </c>
      <c r="Q109" s="72">
        <v>136539.5</v>
      </c>
      <c r="R109" s="72">
        <v>1500241.1</v>
      </c>
      <c r="S109" s="72">
        <v>1279576.2</v>
      </c>
      <c r="T109" s="73">
        <f t="shared" si="31"/>
        <v>53102412.3</v>
      </c>
      <c r="U109" s="76">
        <f>'[1]Annual'!R18</f>
        <v>0.56</v>
      </c>
      <c r="V109" s="72">
        <v>10097390.985102113</v>
      </c>
      <c r="W109" s="166"/>
      <c r="X109" s="167">
        <v>2.5528659059882504</v>
      </c>
      <c r="Y109" s="168">
        <f t="shared" si="33"/>
        <v>5654538.951657184</v>
      </c>
      <c r="Z109" s="72">
        <v>25777285.185300298</v>
      </c>
      <c r="AA109" s="81">
        <v>12509748.924403582</v>
      </c>
      <c r="AB109" s="81">
        <f t="shared" si="34"/>
        <v>6855209.972746397</v>
      </c>
      <c r="AC109" s="82">
        <f t="shared" si="35"/>
        <v>91.61999951957918</v>
      </c>
      <c r="AD109" s="83"/>
      <c r="AE109" s="83">
        <f t="shared" si="36"/>
        <v>1.2389090353003769</v>
      </c>
      <c r="AF109" s="84">
        <f t="shared" si="32"/>
        <v>0.48530125785074396</v>
      </c>
      <c r="AG109" s="85">
        <f t="shared" si="26"/>
        <v>73.9521602547403</v>
      </c>
      <c r="AH109" s="83"/>
      <c r="AI109" s="87">
        <f t="shared" si="37"/>
        <v>0.6789090353003768</v>
      </c>
      <c r="AJ109" s="109">
        <f t="shared" si="38"/>
        <v>0.26593995152971484</v>
      </c>
      <c r="AK109" s="83">
        <f t="shared" si="39"/>
        <v>50.20678977692461</v>
      </c>
      <c r="AL109" s="87">
        <f t="shared" si="40"/>
        <v>5.357406595047952</v>
      </c>
    </row>
    <row r="110" spans="1:38" ht="12.75" hidden="1">
      <c r="A110" s="70">
        <v>33</v>
      </c>
      <c r="B110" s="164"/>
      <c r="C110" s="165"/>
      <c r="D110" s="66">
        <v>6</v>
      </c>
      <c r="E110" s="66">
        <v>10</v>
      </c>
      <c r="F110" s="66"/>
      <c r="G110" s="68" t="s">
        <v>78</v>
      </c>
      <c r="H110" s="69">
        <v>14721</v>
      </c>
      <c r="I110" s="70">
        <f>'[1]MihrlineDX'!G19</f>
        <v>21</v>
      </c>
      <c r="J110" s="69">
        <v>14944</v>
      </c>
      <c r="K110" s="68"/>
      <c r="L110" s="68"/>
      <c r="M110" s="68"/>
      <c r="N110" s="70">
        <v>51</v>
      </c>
      <c r="O110" s="10">
        <v>48</v>
      </c>
      <c r="P110" s="72">
        <v>177728.5</v>
      </c>
      <c r="Q110" s="72">
        <v>166207.6</v>
      </c>
      <c r="R110" s="72">
        <v>2345184.6</v>
      </c>
      <c r="S110" s="72">
        <v>2008800.2</v>
      </c>
      <c r="T110" s="73">
        <f t="shared" si="31"/>
        <v>83365208.3</v>
      </c>
      <c r="U110" s="76">
        <f>'[1]Annual'!R19</f>
        <v>0.56</v>
      </c>
      <c r="V110" s="72">
        <v>8137778.7286709</v>
      </c>
      <c r="W110" s="166"/>
      <c r="X110" s="167">
        <v>5.746739106597577</v>
      </c>
      <c r="Y110" s="168">
        <f t="shared" si="33"/>
        <v>4557156.088055705</v>
      </c>
      <c r="Z110" s="72">
        <v>46765691.26089097</v>
      </c>
      <c r="AA110" s="81">
        <v>16704418.894411096</v>
      </c>
      <c r="AB110" s="81">
        <f t="shared" si="34"/>
        <v>12147262.80635539</v>
      </c>
      <c r="AC110" s="82">
        <f t="shared" si="35"/>
        <v>100.50333976551671</v>
      </c>
      <c r="AD110" s="83"/>
      <c r="AE110" s="83">
        <f t="shared" si="36"/>
        <v>2.0527000612044586</v>
      </c>
      <c r="AF110" s="84">
        <f t="shared" si="32"/>
        <v>0.3571938838928401</v>
      </c>
      <c r="AG110" s="85">
        <f t="shared" si="26"/>
        <v>48.961532015809745</v>
      </c>
      <c r="AH110" s="83"/>
      <c r="AI110" s="87">
        <f t="shared" si="37"/>
        <v>1.4927000612044583</v>
      </c>
      <c r="AJ110" s="109">
        <f t="shared" si="38"/>
        <v>0.2597473164373785</v>
      </c>
      <c r="AK110" s="83">
        <f t="shared" si="39"/>
        <v>73.08488183666324</v>
      </c>
      <c r="AL110" s="87">
        <f t="shared" si="40"/>
        <v>6.04702389334459</v>
      </c>
    </row>
    <row r="111" spans="1:38" ht="12.75" hidden="1">
      <c r="A111" s="70">
        <v>38</v>
      </c>
      <c r="B111" s="164"/>
      <c r="C111" s="165"/>
      <c r="D111" s="66">
        <v>7</v>
      </c>
      <c r="E111" s="66">
        <v>10</v>
      </c>
      <c r="F111" s="66"/>
      <c r="G111" s="68" t="s">
        <v>78</v>
      </c>
      <c r="H111" s="69">
        <v>5521</v>
      </c>
      <c r="I111" s="70">
        <f>'[1]MihrlineDX'!G20</f>
        <v>11</v>
      </c>
      <c r="J111" s="69">
        <v>5167</v>
      </c>
      <c r="K111" s="68"/>
      <c r="L111" s="68"/>
      <c r="M111" s="68"/>
      <c r="N111" s="70">
        <v>19</v>
      </c>
      <c r="O111" s="10">
        <v>17</v>
      </c>
      <c r="P111" s="72">
        <v>65761.3</v>
      </c>
      <c r="Q111" s="72">
        <v>61631.6</v>
      </c>
      <c r="R111" s="72">
        <v>716875.3</v>
      </c>
      <c r="S111" s="72">
        <v>625148.2</v>
      </c>
      <c r="T111" s="73">
        <f t="shared" si="31"/>
        <v>25943650.299999997</v>
      </c>
      <c r="U111" s="76">
        <f>'[1]Annual'!R20</f>
        <v>0.56</v>
      </c>
      <c r="V111" s="72">
        <v>3309035.6441646195</v>
      </c>
      <c r="W111" s="166"/>
      <c r="X111" s="167">
        <v>3.4871994831546735</v>
      </c>
      <c r="Y111" s="168">
        <f t="shared" si="33"/>
        <v>1853059.9607321871</v>
      </c>
      <c r="Z111" s="72">
        <v>11539267.388071254</v>
      </c>
      <c r="AA111" s="81">
        <v>5806675.1007080665</v>
      </c>
      <c r="AB111" s="81">
        <f t="shared" si="34"/>
        <v>3953615.1399758793</v>
      </c>
      <c r="AC111" s="82">
        <f t="shared" si="35"/>
        <v>94.21587466020786</v>
      </c>
      <c r="AD111" s="83"/>
      <c r="AE111" s="83">
        <f t="shared" si="36"/>
        <v>1.7547937602146884</v>
      </c>
      <c r="AF111" s="84">
        <f t="shared" si="32"/>
        <v>0.5032100310554144</v>
      </c>
      <c r="AG111" s="85">
        <f t="shared" si="26"/>
        <v>53.69056854218647</v>
      </c>
      <c r="AH111" s="83"/>
      <c r="AI111" s="87">
        <f t="shared" si="37"/>
        <v>1.1947937602146883</v>
      </c>
      <c r="AJ111" s="109">
        <f t="shared" si="38"/>
        <v>0.342622716591431</v>
      </c>
      <c r="AK111" s="83">
        <f t="shared" si="39"/>
        <v>64.14915627658343</v>
      </c>
      <c r="AL111" s="87">
        <f t="shared" si="40"/>
        <v>6.3242846095947804</v>
      </c>
    </row>
    <row r="112" spans="1:38" ht="12.75" hidden="1">
      <c r="A112" s="70">
        <v>68</v>
      </c>
      <c r="B112" s="164"/>
      <c r="C112" s="165"/>
      <c r="D112" s="66">
        <v>10</v>
      </c>
      <c r="E112" s="66"/>
      <c r="F112" s="66"/>
      <c r="G112" s="68" t="s">
        <v>78</v>
      </c>
      <c r="H112" s="69">
        <v>8487</v>
      </c>
      <c r="I112" s="70">
        <f>'[1]MihrlineDX'!G30</f>
        <v>17</v>
      </c>
      <c r="J112" s="69">
        <v>9569</v>
      </c>
      <c r="K112" s="68"/>
      <c r="L112" s="68"/>
      <c r="M112" s="68"/>
      <c r="N112" s="70">
        <v>29</v>
      </c>
      <c r="O112" s="10">
        <v>31</v>
      </c>
      <c r="P112" s="72">
        <v>114442.9</v>
      </c>
      <c r="Q112" s="72">
        <v>105973.3</v>
      </c>
      <c r="R112" s="72">
        <v>1317448.8</v>
      </c>
      <c r="S112" s="72">
        <v>1128728.8</v>
      </c>
      <c r="T112" s="73">
        <f t="shared" si="31"/>
        <v>46842245.2</v>
      </c>
      <c r="U112" s="76">
        <f>'[1]Annual'!R30</f>
        <v>0.56</v>
      </c>
      <c r="V112" s="72">
        <v>6983826.518976546</v>
      </c>
      <c r="W112" s="166"/>
      <c r="X112" s="167">
        <v>3.2176078017366545</v>
      </c>
      <c r="Y112" s="168">
        <f t="shared" si="33"/>
        <v>3910942.850626866</v>
      </c>
      <c r="Z112" s="72">
        <v>22471214.693434276</v>
      </c>
      <c r="AA112" s="81">
        <v>10105223.609681815</v>
      </c>
      <c r="AB112" s="81">
        <f t="shared" si="34"/>
        <v>6194280.7590549495</v>
      </c>
      <c r="AC112" s="82">
        <f t="shared" si="35"/>
        <v>95.3563172014254</v>
      </c>
      <c r="AD112" s="83"/>
      <c r="AE112" s="83">
        <f t="shared" si="36"/>
        <v>1.4469465388671623</v>
      </c>
      <c r="AF112" s="84">
        <f t="shared" si="32"/>
        <v>0.44969636699854937</v>
      </c>
      <c r="AG112" s="85">
        <f t="shared" si="26"/>
        <v>65.90175562124182</v>
      </c>
      <c r="AH112" s="83"/>
      <c r="AI112" s="87">
        <f t="shared" si="37"/>
        <v>0.8869465388671622</v>
      </c>
      <c r="AJ112" s="109">
        <f t="shared" si="38"/>
        <v>0.27565402420656937</v>
      </c>
      <c r="AK112" s="83">
        <f t="shared" si="39"/>
        <v>58.45133405352998</v>
      </c>
      <c r="AL112" s="87">
        <f t="shared" si="40"/>
        <v>5.487837963428371</v>
      </c>
    </row>
    <row r="113" spans="1:38" ht="12.75" hidden="1">
      <c r="A113" s="1">
        <v>217</v>
      </c>
      <c r="B113" s="169"/>
      <c r="C113" s="170"/>
      <c r="D113" s="96">
        <v>7</v>
      </c>
      <c r="E113" s="96"/>
      <c r="F113" s="96"/>
      <c r="G113" s="68" t="s">
        <v>78</v>
      </c>
      <c r="H113" s="69">
        <v>5729</v>
      </c>
      <c r="I113" s="70">
        <f>'[1]MihrlineDX'!G77</f>
        <v>11</v>
      </c>
      <c r="J113" s="69">
        <v>6244</v>
      </c>
      <c r="K113" s="68"/>
      <c r="L113" s="68"/>
      <c r="M113" s="68"/>
      <c r="N113" s="70">
        <v>19</v>
      </c>
      <c r="O113" s="10">
        <v>20</v>
      </c>
      <c r="P113" s="72">
        <v>81648</v>
      </c>
      <c r="Q113" s="72">
        <v>75983.8</v>
      </c>
      <c r="R113" s="72">
        <v>787934.9</v>
      </c>
      <c r="S113" s="72">
        <v>711669</v>
      </c>
      <c r="T113" s="73">
        <f t="shared" si="31"/>
        <v>29534263.5</v>
      </c>
      <c r="U113" s="76">
        <f>'[1]Annual'!R77</f>
        <v>0.56</v>
      </c>
      <c r="V113" s="72">
        <v>4740674.087988257</v>
      </c>
      <c r="W113" s="166"/>
      <c r="X113" s="167">
        <v>2.634964517645893</v>
      </c>
      <c r="Y113" s="168">
        <f t="shared" si="33"/>
        <v>2654777.4892734243</v>
      </c>
      <c r="Z113" s="72">
        <v>12491508.011572363</v>
      </c>
      <c r="AA113" s="81">
        <v>6916957.309334589</v>
      </c>
      <c r="AB113" s="81">
        <f t="shared" si="34"/>
        <v>4262179.820061165</v>
      </c>
      <c r="AC113" s="82">
        <f t="shared" si="35"/>
        <v>91.03200036500661</v>
      </c>
      <c r="AD113" s="83"/>
      <c r="AE113" s="83">
        <f t="shared" si="36"/>
        <v>1.459066196273757</v>
      </c>
      <c r="AF113" s="84">
        <f t="shared" si="32"/>
        <v>0.5537327681274825</v>
      </c>
      <c r="AG113" s="85">
        <f t="shared" si="26"/>
        <v>62.39058967817163</v>
      </c>
      <c r="AH113" s="83"/>
      <c r="AI113" s="87">
        <f t="shared" si="37"/>
        <v>0.8990661962737571</v>
      </c>
      <c r="AJ113" s="109">
        <f t="shared" si="38"/>
        <v>0.341206187124293</v>
      </c>
      <c r="AK113" s="83">
        <f t="shared" si="39"/>
        <v>56.09327014523049</v>
      </c>
      <c r="AL113" s="87">
        <f t="shared" si="40"/>
        <v>5.988991820721663</v>
      </c>
    </row>
    <row r="114" spans="1:38" ht="12.75" hidden="1">
      <c r="A114" s="1">
        <v>220</v>
      </c>
      <c r="B114" s="169"/>
      <c r="C114" s="170"/>
      <c r="D114" s="96">
        <v>7</v>
      </c>
      <c r="E114" s="96"/>
      <c r="F114" s="96"/>
      <c r="G114" s="68" t="s">
        <v>78</v>
      </c>
      <c r="H114" s="69">
        <v>1077</v>
      </c>
      <c r="I114" s="70">
        <f>'[1]MihrlineDX'!G78</f>
        <v>3</v>
      </c>
      <c r="J114" s="69">
        <v>1077</v>
      </c>
      <c r="K114" s="68"/>
      <c r="L114" s="68"/>
      <c r="M114" s="68"/>
      <c r="N114" s="70">
        <v>3</v>
      </c>
      <c r="O114" s="10">
        <v>3</v>
      </c>
      <c r="P114" s="72">
        <v>15688</v>
      </c>
      <c r="Q114" s="72">
        <v>15017</v>
      </c>
      <c r="R114" s="72">
        <v>241385.8</v>
      </c>
      <c r="S114" s="72">
        <v>224040.5</v>
      </c>
      <c r="T114" s="73">
        <f t="shared" si="31"/>
        <v>9297680.75</v>
      </c>
      <c r="U114" s="76">
        <f>'[1]Annual'!R78</f>
        <v>0.56</v>
      </c>
      <c r="V114" s="72">
        <v>289059.2361111111</v>
      </c>
      <c r="W114" s="166"/>
      <c r="X114" s="167">
        <v>6.007175019153369</v>
      </c>
      <c r="Y114" s="168">
        <f t="shared" si="33"/>
        <v>161873.17222222223</v>
      </c>
      <c r="Z114" s="72">
        <v>1736429.4222222222</v>
      </c>
      <c r="AA114" s="81">
        <v>1593234.6795970732</v>
      </c>
      <c r="AB114" s="81">
        <f t="shared" si="34"/>
        <v>1431361.507374851</v>
      </c>
      <c r="AC114" s="82">
        <f t="shared" si="35"/>
        <v>106.09540384877627</v>
      </c>
      <c r="AD114" s="83"/>
      <c r="AE114" s="83">
        <f t="shared" si="36"/>
        <v>5.511793018731468</v>
      </c>
      <c r="AF114" s="84">
        <f t="shared" si="32"/>
        <v>0.9175349479842991</v>
      </c>
      <c r="AG114" s="85">
        <f t="shared" si="26"/>
        <v>19.24880043358268</v>
      </c>
      <c r="AH114" s="83"/>
      <c r="AI114" s="87">
        <f t="shared" si="37"/>
        <v>4.951793018731467</v>
      </c>
      <c r="AJ114" s="109">
        <f t="shared" si="38"/>
        <v>0.8243130927504351</v>
      </c>
      <c r="AK114" s="83">
        <f t="shared" si="39"/>
        <v>95.31607560596997</v>
      </c>
      <c r="AL114" s="87">
        <f t="shared" si="40"/>
        <v>6.388851602165015</v>
      </c>
    </row>
    <row r="115" spans="1:38" ht="12.75" hidden="1">
      <c r="A115" s="1">
        <v>434</v>
      </c>
      <c r="B115" s="169"/>
      <c r="C115" s="170"/>
      <c r="D115" s="96">
        <v>6</v>
      </c>
      <c r="E115" s="96">
        <v>10</v>
      </c>
      <c r="F115" s="96"/>
      <c r="G115" s="171" t="s">
        <v>78</v>
      </c>
      <c r="H115" s="69">
        <v>5677</v>
      </c>
      <c r="I115" s="70">
        <f>'[1]MihrlineDX'!G98</f>
        <v>5</v>
      </c>
      <c r="J115" s="69">
        <v>4402</v>
      </c>
      <c r="K115" s="68"/>
      <c r="L115" s="68"/>
      <c r="M115" s="68"/>
      <c r="N115" s="70">
        <v>19</v>
      </c>
      <c r="O115" s="10">
        <v>14</v>
      </c>
      <c r="P115" s="72">
        <v>47893.5</v>
      </c>
      <c r="Q115" s="72">
        <v>38367.7</v>
      </c>
      <c r="R115" s="72">
        <v>1233133.9</v>
      </c>
      <c r="S115" s="72">
        <v>904279.9</v>
      </c>
      <c r="T115" s="73">
        <f t="shared" si="31"/>
        <v>37527615.85</v>
      </c>
      <c r="U115" s="76">
        <f>'[1]Annual'!R98</f>
        <v>0.6</v>
      </c>
      <c r="V115" s="72">
        <v>848801.5142857144</v>
      </c>
      <c r="W115" s="166"/>
      <c r="X115" s="167">
        <v>11.812617692134406</v>
      </c>
      <c r="Y115" s="168">
        <f t="shared" si="33"/>
        <v>509280.9085714286</v>
      </c>
      <c r="Z115" s="72">
        <v>10026567.784761904</v>
      </c>
      <c r="AA115" s="81">
        <v>5306248.198990471</v>
      </c>
      <c r="AB115" s="81">
        <f t="shared" si="34"/>
        <v>4796967.290419042</v>
      </c>
      <c r="AC115" s="82">
        <f t="shared" si="35"/>
        <v>138.29987721417942</v>
      </c>
      <c r="AD115" s="83"/>
      <c r="AE115" s="83">
        <f t="shared" si="36"/>
        <v>6.251459392665903</v>
      </c>
      <c r="AF115" s="84">
        <f t="shared" si="32"/>
        <v>0.5292188027746402</v>
      </c>
      <c r="AG115" s="85">
        <f t="shared" si="26"/>
        <v>22.122814614525094</v>
      </c>
      <c r="AH115" s="83"/>
      <c r="AI115" s="87">
        <f t="shared" si="37"/>
        <v>5.651459392665903</v>
      </c>
      <c r="AJ115" s="109">
        <f t="shared" si="38"/>
        <v>0.47842565805113674</v>
      </c>
      <c r="AK115" s="83">
        <f t="shared" si="39"/>
        <v>125.02618844546434</v>
      </c>
      <c r="AL115" s="87">
        <f t="shared" si="40"/>
        <v>5.304737272628798</v>
      </c>
    </row>
    <row r="116" spans="1:38" ht="13.5" hidden="1" thickBot="1">
      <c r="A116" s="1">
        <v>720</v>
      </c>
      <c r="B116" s="172"/>
      <c r="C116" s="173"/>
      <c r="D116" s="174">
        <v>7</v>
      </c>
      <c r="E116" s="174"/>
      <c r="F116" s="174"/>
      <c r="G116" s="175" t="s">
        <v>78</v>
      </c>
      <c r="H116" s="176">
        <v>24597</v>
      </c>
      <c r="I116" s="177">
        <f>'[1]MihrlineDX'!G114</f>
        <v>49</v>
      </c>
      <c r="J116" s="176">
        <v>25741</v>
      </c>
      <c r="K116" s="178"/>
      <c r="L116" s="178"/>
      <c r="M116" s="178"/>
      <c r="N116" s="177">
        <v>83</v>
      </c>
      <c r="O116" s="179">
        <v>83</v>
      </c>
      <c r="P116" s="130">
        <v>321122.8</v>
      </c>
      <c r="Q116" s="130">
        <v>280577.4</v>
      </c>
      <c r="R116" s="130">
        <v>4992986.8</v>
      </c>
      <c r="S116" s="130">
        <v>4071899</v>
      </c>
      <c r="T116" s="73">
        <f t="shared" si="31"/>
        <v>168983808.5</v>
      </c>
      <c r="U116" s="133">
        <f>'[1]Annual'!R114</f>
        <v>0.56</v>
      </c>
      <c r="V116" s="130">
        <v>8720589.818593616</v>
      </c>
      <c r="W116" s="180"/>
      <c r="X116" s="181">
        <v>6.889330902191473</v>
      </c>
      <c r="Y116" s="182">
        <f t="shared" si="33"/>
        <v>4883530.298412425</v>
      </c>
      <c r="Z116" s="130">
        <v>60079028.92257333</v>
      </c>
      <c r="AA116" s="138">
        <v>30006207.69317579</v>
      </c>
      <c r="AB116" s="138">
        <f t="shared" si="34"/>
        <v>25122677.394763365</v>
      </c>
      <c r="AC116" s="139">
        <f t="shared" si="35"/>
        <v>106.94449265399062</v>
      </c>
      <c r="AD116" s="140"/>
      <c r="AE116" s="140">
        <f t="shared" si="36"/>
        <v>3.4408461259349705</v>
      </c>
      <c r="AF116" s="183">
        <f t="shared" si="32"/>
        <v>0.499445617402475</v>
      </c>
      <c r="AG116" s="184">
        <f t="shared" si="26"/>
        <v>31.08087044285682</v>
      </c>
      <c r="AH116" s="140"/>
      <c r="AI116" s="87">
        <f t="shared" si="37"/>
        <v>2.8808461259349705</v>
      </c>
      <c r="AJ116" s="185">
        <f t="shared" si="38"/>
        <v>0.41816051033614643</v>
      </c>
      <c r="AK116" s="140">
        <f t="shared" si="39"/>
        <v>89.5392052059908</v>
      </c>
      <c r="AL116" s="186">
        <f t="shared" si="40"/>
        <v>6.169769288178161</v>
      </c>
    </row>
    <row r="117" spans="1:38" ht="12.75" hidden="1">
      <c r="A117" s="1" t="s">
        <v>79</v>
      </c>
      <c r="B117" s="169"/>
      <c r="C117" s="170"/>
      <c r="D117" s="96"/>
      <c r="E117" s="96"/>
      <c r="F117" s="96"/>
      <c r="G117" s="171"/>
      <c r="H117" s="69"/>
      <c r="I117" s="62"/>
      <c r="J117" s="69"/>
      <c r="K117" s="68"/>
      <c r="L117" s="68"/>
      <c r="M117" s="68"/>
      <c r="N117" s="70"/>
      <c r="O117" s="71"/>
      <c r="P117" s="73"/>
      <c r="Q117" s="72">
        <v>25000</v>
      </c>
      <c r="R117" s="72"/>
      <c r="S117" s="72"/>
      <c r="T117" s="72"/>
      <c r="U117" s="91"/>
      <c r="V117" s="72"/>
      <c r="W117" s="166"/>
      <c r="X117" s="98"/>
      <c r="Y117" s="83"/>
      <c r="Z117" s="72"/>
      <c r="AA117" s="187"/>
      <c r="AB117" s="81"/>
      <c r="AC117" s="82"/>
      <c r="AD117" s="83"/>
      <c r="AE117" s="83"/>
      <c r="AF117" s="84"/>
      <c r="AG117" s="85"/>
      <c r="AH117" s="10"/>
      <c r="AI117" s="188"/>
      <c r="AJ117" s="188"/>
      <c r="AK117" s="10"/>
      <c r="AL117" s="188"/>
    </row>
    <row r="118" spans="1:38" ht="12.75" hidden="1">
      <c r="A118" s="1"/>
      <c r="B118" s="169"/>
      <c r="C118" s="170"/>
      <c r="D118" s="96"/>
      <c r="E118" s="96"/>
      <c r="F118" s="96"/>
      <c r="G118" s="171"/>
      <c r="H118" s="68"/>
      <c r="I118" s="189">
        <f>SUM(I34:I116)</f>
        <v>876</v>
      </c>
      <c r="J118" s="190">
        <f>SUM(J34:J116)</f>
        <v>484523</v>
      </c>
      <c r="K118" s="190">
        <f>SUM(K34:K116)</f>
        <v>0</v>
      </c>
      <c r="L118" s="190">
        <f>SUM(L34:L116)</f>
        <v>0</v>
      </c>
      <c r="M118" s="190">
        <f>SUM(M34:M116)</f>
        <v>0</v>
      </c>
      <c r="N118" s="190">
        <f aca="true" t="shared" si="41" ref="N118:T118">SUM(N6:N116)-N33</f>
        <v>1940</v>
      </c>
      <c r="O118" s="190">
        <f t="shared" si="41"/>
        <v>1913</v>
      </c>
      <c r="P118" s="190">
        <f t="shared" si="41"/>
        <v>7469737.699999999</v>
      </c>
      <c r="Q118" s="190">
        <f t="shared" si="41"/>
        <v>6882220.100000002</v>
      </c>
      <c r="R118" s="190">
        <f t="shared" si="41"/>
        <v>99349110.50000001</v>
      </c>
      <c r="S118" s="190">
        <f t="shared" si="41"/>
        <v>84731086.10000004</v>
      </c>
      <c r="T118" s="190">
        <f t="shared" si="41"/>
        <v>3513558092.500001</v>
      </c>
      <c r="U118" s="191"/>
      <c r="V118" s="190">
        <f>SUM(V6:V116)-V33</f>
        <v>365965303.1398057</v>
      </c>
      <c r="W118" s="192"/>
      <c r="X118" s="193">
        <f>Z118/V118</f>
        <v>3.9712824927467434</v>
      </c>
      <c r="Y118" s="194">
        <f>SUM(Y6:Y116)</f>
        <v>242103716.33827084</v>
      </c>
      <c r="Z118" s="190">
        <f>SUM(Z6:Z116)-Z33</f>
        <v>1453351601.311865</v>
      </c>
      <c r="AA118" s="195">
        <f>SUM(AA6:AA117)-AA33</f>
        <v>698246555.5148895</v>
      </c>
      <c r="AB118" s="195">
        <f>SUM(AB6:AB117)-AB33</f>
        <v>490890455.30171216</v>
      </c>
      <c r="AC118" s="196">
        <f>AA118/Q118</f>
        <v>101.45658600992567</v>
      </c>
      <c r="AD118" s="197"/>
      <c r="AE118" s="197">
        <f>AA118/V118</f>
        <v>1.9079583488496614</v>
      </c>
      <c r="AF118" s="198">
        <f>AA118/Z118</f>
        <v>0.4804388386709854</v>
      </c>
      <c r="AG118" s="199">
        <f>V118/Q118</f>
        <v>53.175472132866766</v>
      </c>
      <c r="AH118" s="83"/>
      <c r="AI118" s="87">
        <f>AB118/V118</f>
        <v>1.341357913141243</v>
      </c>
      <c r="AJ118" s="109">
        <f>AB118/Z118</f>
        <v>0.33776441630408693</v>
      </c>
      <c r="AK118" s="83">
        <f>AB118/Q118</f>
        <v>71.3273403304425</v>
      </c>
      <c r="AL118" s="87">
        <f>AB118/S118</f>
        <v>5.793510716035917</v>
      </c>
    </row>
    <row r="119" spans="1:38" s="214" customFormat="1" ht="15" customHeight="1" thickBot="1">
      <c r="A119" s="200"/>
      <c r="B119" s="571" t="s">
        <v>80</v>
      </c>
      <c r="C119" s="572"/>
      <c r="D119" s="572"/>
      <c r="E119" s="572"/>
      <c r="F119" s="573"/>
      <c r="G119" s="201"/>
      <c r="H119" s="202"/>
      <c r="I119" s="203"/>
      <c r="J119" s="203"/>
      <c r="K119" s="203"/>
      <c r="L119" s="203"/>
      <c r="M119" s="203"/>
      <c r="N119" s="204">
        <f aca="true" t="shared" si="42" ref="N119:T119">N33/N126</f>
        <v>0.17835051546391753</v>
      </c>
      <c r="O119" s="205">
        <f t="shared" si="42"/>
        <v>0.17773131207527443</v>
      </c>
      <c r="P119" s="204">
        <f t="shared" si="42"/>
        <v>0.1828504366358139</v>
      </c>
      <c r="Q119" s="204">
        <f t="shared" si="42"/>
        <v>0.1846132616421262</v>
      </c>
      <c r="R119" s="204">
        <f t="shared" si="42"/>
        <v>0.18454615353601986</v>
      </c>
      <c r="S119" s="205">
        <f t="shared" si="42"/>
        <v>0.18842360855799298</v>
      </c>
      <c r="T119" s="205">
        <f t="shared" si="42"/>
        <v>0.18778101499399075</v>
      </c>
      <c r="U119" s="204"/>
      <c r="V119" s="204">
        <f>V33/V126</f>
        <v>0.1644025927129338</v>
      </c>
      <c r="W119" s="206"/>
      <c r="X119" s="206">
        <f aca="true" t="shared" si="43" ref="X119:AL119">X33/X126</f>
        <v>1.1132537497678865</v>
      </c>
      <c r="Y119" s="204">
        <f t="shared" si="43"/>
        <v>0.16757460276967942</v>
      </c>
      <c r="Z119" s="204">
        <f t="shared" si="43"/>
        <v>0.18302180280923616</v>
      </c>
      <c r="AA119" s="204">
        <f t="shared" si="43"/>
        <v>0.18601865116684024</v>
      </c>
      <c r="AB119" s="207">
        <f t="shared" si="43"/>
        <v>0.20366403032055766</v>
      </c>
      <c r="AC119" s="208">
        <f t="shared" si="43"/>
        <v>1.0076126141329889</v>
      </c>
      <c r="AD119" s="209">
        <f t="shared" si="43"/>
        <v>0.9872364327933325</v>
      </c>
      <c r="AE119" s="209">
        <f t="shared" si="43"/>
        <v>1.1314824668954622</v>
      </c>
      <c r="AF119" s="210">
        <f t="shared" si="43"/>
        <v>1.016374269685933</v>
      </c>
      <c r="AG119" s="211">
        <f t="shared" si="43"/>
        <v>0.8905242843909508</v>
      </c>
      <c r="AH119" s="209">
        <f t="shared" si="43"/>
        <v>0.9746555199687952</v>
      </c>
      <c r="AI119" s="212">
        <f t="shared" si="43"/>
        <v>1.2388127642012248</v>
      </c>
      <c r="AJ119" s="213">
        <f t="shared" si="43"/>
        <v>1.1127856200435142</v>
      </c>
      <c r="AK119" s="209">
        <f t="shared" si="43"/>
        <v>1.1031928503346715</v>
      </c>
      <c r="AL119" s="213">
        <f t="shared" si="43"/>
        <v>1.0808838227820798</v>
      </c>
    </row>
    <row r="120" spans="1:38" s="232" customFormat="1" ht="16.5" thickBot="1">
      <c r="A120" s="215"/>
      <c r="B120" s="216"/>
      <c r="C120" s="217" t="s">
        <v>81</v>
      </c>
      <c r="D120" s="218"/>
      <c r="E120" s="219"/>
      <c r="F120" s="220"/>
      <c r="G120" s="221"/>
      <c r="H120" s="222"/>
      <c r="I120" s="222"/>
      <c r="J120" s="222"/>
      <c r="K120" s="223"/>
      <c r="L120" s="223"/>
      <c r="M120" s="223"/>
      <c r="N120" s="224"/>
      <c r="O120" s="224"/>
      <c r="P120" s="224"/>
      <c r="Q120" s="224"/>
      <c r="R120" s="224"/>
      <c r="S120" s="224"/>
      <c r="T120" s="224"/>
      <c r="U120" s="225"/>
      <c r="V120" s="224"/>
      <c r="W120" s="154"/>
      <c r="X120" s="226"/>
      <c r="Y120" s="227"/>
      <c r="Z120" s="224"/>
      <c r="AA120" s="228"/>
      <c r="AB120" s="228"/>
      <c r="AC120" s="229"/>
      <c r="AD120" s="229"/>
      <c r="AE120" s="229"/>
      <c r="AF120" s="229"/>
      <c r="AG120" s="229"/>
      <c r="AH120" s="229"/>
      <c r="AI120" s="229"/>
      <c r="AJ120" s="230"/>
      <c r="AK120" s="231"/>
      <c r="AL120" s="231"/>
    </row>
    <row r="121" spans="3:38" ht="12.75">
      <c r="C121" s="235" t="s">
        <v>46</v>
      </c>
      <c r="D121" s="236"/>
      <c r="E121" s="237"/>
      <c r="F121" s="238"/>
      <c r="G121" s="239"/>
      <c r="H121" s="240">
        <v>102686</v>
      </c>
      <c r="I121" s="240">
        <v>102686</v>
      </c>
      <c r="J121" s="240">
        <v>102686</v>
      </c>
      <c r="K121" s="240">
        <v>102686</v>
      </c>
      <c r="L121" s="240">
        <v>102686</v>
      </c>
      <c r="M121" s="240">
        <v>102686</v>
      </c>
      <c r="N121" s="241">
        <f aca="true" t="shared" si="44" ref="N121:Z121">SUMIF($G$6:$G$116,$C121,N$6:N$118)</f>
        <v>346</v>
      </c>
      <c r="O121" s="242">
        <f t="shared" si="44"/>
        <v>340</v>
      </c>
      <c r="P121" s="243">
        <f t="shared" si="44"/>
        <v>1365844.8000000005</v>
      </c>
      <c r="Q121" s="241">
        <f t="shared" si="44"/>
        <v>1270549.0999999999</v>
      </c>
      <c r="R121" s="243">
        <f t="shared" si="44"/>
        <v>18334496.200000003</v>
      </c>
      <c r="S121" s="242">
        <f t="shared" si="44"/>
        <v>15965336.999999998</v>
      </c>
      <c r="T121" s="242">
        <f t="shared" si="44"/>
        <v>659779504.85</v>
      </c>
      <c r="U121" s="240"/>
      <c r="V121" s="243">
        <f t="shared" si="44"/>
        <v>60165644.67915881</v>
      </c>
      <c r="W121" s="244"/>
      <c r="X121" s="245">
        <f aca="true" t="shared" si="45" ref="X121:X126">Z121/V121</f>
        <v>4.421045126437874</v>
      </c>
      <c r="Y121" s="246">
        <f>SUMIF($G$6:$G$116,$C121,Y$6:Y$118)</f>
        <v>34747616.12509311</v>
      </c>
      <c r="Z121" s="243">
        <f t="shared" si="44"/>
        <v>265995030.18778783</v>
      </c>
      <c r="AA121" s="246">
        <f>SUMIF($G$6:$G$116,$C121,AA$6:AA$118)</f>
        <v>134724344.69773334</v>
      </c>
      <c r="AB121" s="247">
        <f>SUMIF($G$6:$G$116,$C121,AB$6:AB$118)</f>
        <v>99976728.57264018</v>
      </c>
      <c r="AC121" s="248">
        <f aca="true" t="shared" si="46" ref="AC121:AC126">AA121/Q121</f>
        <v>106.03631508434688</v>
      </c>
      <c r="AD121" s="249">
        <f aca="true" t="shared" si="47" ref="AD121:AD126">AA121/S121</f>
        <v>8.438553141579996</v>
      </c>
      <c r="AE121" s="249">
        <f aca="true" t="shared" si="48" ref="AE121:AE126">AA121/V121</f>
        <v>2.2392238197756975</v>
      </c>
      <c r="AF121" s="250">
        <v>0.47107872193132494</v>
      </c>
      <c r="AG121" s="251">
        <f aca="true" t="shared" si="49" ref="AG121:AG126">V121/Q121</f>
        <v>47.35404926827213</v>
      </c>
      <c r="AH121" s="252">
        <f aca="true" t="shared" si="50" ref="AH121:AH126">Z121/T121</f>
        <v>0.40315746129195307</v>
      </c>
      <c r="AI121" s="253">
        <f aca="true" t="shared" si="51" ref="AI121:AI126">AB121/V121</f>
        <v>1.661691304161689</v>
      </c>
      <c r="AJ121" s="254">
        <f aca="true" t="shared" si="52" ref="AJ121:AJ126">AB121/Z121</f>
        <v>0.3758593854255787</v>
      </c>
      <c r="AK121" s="249">
        <f aca="true" t="shared" si="53" ref="AK121:AK126">AB121/Q121</f>
        <v>78.68781188593199</v>
      </c>
      <c r="AL121" s="253">
        <f aca="true" t="shared" si="54" ref="AL121:AL126">AB121/S121</f>
        <v>6.262112010077845</v>
      </c>
    </row>
    <row r="122" spans="3:38" ht="12.75">
      <c r="C122" s="255" t="s">
        <v>77</v>
      </c>
      <c r="D122" s="256"/>
      <c r="E122" s="257"/>
      <c r="F122" s="97"/>
      <c r="G122" s="5"/>
      <c r="H122" s="153">
        <v>124347</v>
      </c>
      <c r="I122" s="153">
        <f aca="true" t="shared" si="55" ref="I122:T125">SUMIF($G$34:$G$116,$C122,I$34:I$118)</f>
        <v>269</v>
      </c>
      <c r="J122" s="153">
        <f t="shared" si="55"/>
        <v>133565</v>
      </c>
      <c r="K122" s="153">
        <f t="shared" si="55"/>
        <v>0</v>
      </c>
      <c r="L122" s="153">
        <f t="shared" si="55"/>
        <v>0</v>
      </c>
      <c r="M122" s="153">
        <f t="shared" si="55"/>
        <v>0</v>
      </c>
      <c r="N122" s="258">
        <f t="shared" si="55"/>
        <v>413</v>
      </c>
      <c r="O122" s="259">
        <f t="shared" si="55"/>
        <v>431</v>
      </c>
      <c r="P122" s="151">
        <f t="shared" si="55"/>
        <v>1714424.8</v>
      </c>
      <c r="Q122" s="258">
        <f t="shared" si="55"/>
        <v>1573270.8999999997</v>
      </c>
      <c r="R122" s="151">
        <f t="shared" si="55"/>
        <v>23246644.9</v>
      </c>
      <c r="S122" s="259">
        <f t="shared" si="55"/>
        <v>19770526.2</v>
      </c>
      <c r="T122" s="259">
        <f t="shared" si="55"/>
        <v>820476837.3</v>
      </c>
      <c r="U122" s="260"/>
      <c r="V122" s="151">
        <f>SUMIF($G$34:$G$116,$C122,V$34:V$118)</f>
        <v>97131915.84768867</v>
      </c>
      <c r="W122" s="261"/>
      <c r="X122" s="262">
        <f t="shared" si="45"/>
        <v>3.6109883214558756</v>
      </c>
      <c r="Y122" s="263">
        <f aca="true" t="shared" si="56" ref="Y122:Z125">SUMIF($G$34:$G$116,$C122,Y$34:Y$118)</f>
        <v>55190963.27248893</v>
      </c>
      <c r="Z122" s="151">
        <f t="shared" si="56"/>
        <v>350742213.7666387</v>
      </c>
      <c r="AA122" s="81">
        <v>166152196.70496604</v>
      </c>
      <c r="AB122" s="264">
        <f>SUMIF($G$34:$G$116,$C122,AB$34:AB$118)</f>
        <v>103631922.54465333</v>
      </c>
      <c r="AC122" s="126">
        <f t="shared" si="46"/>
        <v>105.6094005838194</v>
      </c>
      <c r="AD122" s="83">
        <f t="shared" si="47"/>
        <v>8.404035129068342</v>
      </c>
      <c r="AE122" s="265">
        <f t="shared" si="48"/>
        <v>1.7105829248288194</v>
      </c>
      <c r="AF122" s="84">
        <f>AA122/Z122</f>
        <v>0.4737159947776147</v>
      </c>
      <c r="AG122" s="266">
        <f t="shared" si="49"/>
        <v>61.73883712441938</v>
      </c>
      <c r="AH122" s="103">
        <f t="shared" si="50"/>
        <v>0.4274858202223605</v>
      </c>
      <c r="AI122" s="267">
        <f t="shared" si="51"/>
        <v>1.0669193708395213</v>
      </c>
      <c r="AJ122" s="109">
        <f t="shared" si="52"/>
        <v>0.295464641771359</v>
      </c>
      <c r="AK122" s="83">
        <f t="shared" si="53"/>
        <v>65.87036126114921</v>
      </c>
      <c r="AL122" s="87">
        <f t="shared" si="54"/>
        <v>5.241738206474916</v>
      </c>
    </row>
    <row r="123" spans="3:38" ht="12.75">
      <c r="C123" s="268" t="s">
        <v>76</v>
      </c>
      <c r="D123" s="256"/>
      <c r="E123" s="257"/>
      <c r="F123" s="97"/>
      <c r="G123" s="5"/>
      <c r="H123" s="153">
        <v>99158</v>
      </c>
      <c r="I123" s="153">
        <f t="shared" si="55"/>
        <v>187</v>
      </c>
      <c r="J123" s="153">
        <f t="shared" si="55"/>
        <v>99183</v>
      </c>
      <c r="K123" s="153">
        <f t="shared" si="55"/>
        <v>0</v>
      </c>
      <c r="L123" s="153">
        <f t="shared" si="55"/>
        <v>0</v>
      </c>
      <c r="M123" s="153">
        <f t="shared" si="55"/>
        <v>0</v>
      </c>
      <c r="N123" s="258">
        <f t="shared" si="55"/>
        <v>334</v>
      </c>
      <c r="O123" s="259">
        <f t="shared" si="55"/>
        <v>329</v>
      </c>
      <c r="P123" s="151">
        <f t="shared" si="55"/>
        <v>1274349.9000000001</v>
      </c>
      <c r="Q123" s="258">
        <f t="shared" si="55"/>
        <v>1178848.7999999998</v>
      </c>
      <c r="R123" s="151">
        <f t="shared" si="55"/>
        <v>19152732.2</v>
      </c>
      <c r="S123" s="259">
        <f t="shared" si="55"/>
        <v>16471122.000000002</v>
      </c>
      <c r="T123" s="259">
        <f t="shared" si="55"/>
        <v>683551563</v>
      </c>
      <c r="U123" s="260"/>
      <c r="V123" s="151">
        <f>SUMIF($G$34:$G$116,$C123,V$34:V$118)</f>
        <v>52177956.562926434</v>
      </c>
      <c r="W123" s="261"/>
      <c r="X123" s="262">
        <f t="shared" si="45"/>
        <v>4.94175231447113</v>
      </c>
      <c r="Y123" s="263">
        <f t="shared" si="56"/>
        <v>29441718.833370205</v>
      </c>
      <c r="Z123" s="151">
        <f t="shared" si="56"/>
        <v>257850537.6092158</v>
      </c>
      <c r="AA123" s="81">
        <v>130660628.3605903</v>
      </c>
      <c r="AB123" s="264">
        <f>SUMIF($G$34:$G$116,$C123,AB$34:AB$118)</f>
        <v>95455203.81014395</v>
      </c>
      <c r="AC123" s="269">
        <f t="shared" si="46"/>
        <v>110.8374783607451</v>
      </c>
      <c r="AD123" s="265">
        <f t="shared" si="47"/>
        <v>7.9327096454382575</v>
      </c>
      <c r="AE123" s="270">
        <f t="shared" si="48"/>
        <v>2.504134637833393</v>
      </c>
      <c r="AF123" s="84">
        <f>AA123/Z123</f>
        <v>0.5067300986535557</v>
      </c>
      <c r="AG123" s="271">
        <f t="shared" si="49"/>
        <v>44.26178875774946</v>
      </c>
      <c r="AH123" s="272">
        <f t="shared" si="50"/>
        <v>0.3772217804280199</v>
      </c>
      <c r="AI123" s="273">
        <f t="shared" si="51"/>
        <v>1.8294162918209589</v>
      </c>
      <c r="AJ123" s="109">
        <f t="shared" si="52"/>
        <v>0.370195868875056</v>
      </c>
      <c r="AK123" s="83">
        <f t="shared" si="53"/>
        <v>80.97323745856463</v>
      </c>
      <c r="AL123" s="87">
        <f t="shared" si="54"/>
        <v>5.795306707712076</v>
      </c>
    </row>
    <row r="124" spans="3:38" ht="12.75">
      <c r="C124" s="268" t="s">
        <v>75</v>
      </c>
      <c r="D124" s="256"/>
      <c r="E124" s="257"/>
      <c r="F124" s="97"/>
      <c r="G124" s="5"/>
      <c r="H124" s="153">
        <v>93934</v>
      </c>
      <c r="I124" s="153">
        <f t="shared" si="55"/>
        <v>150</v>
      </c>
      <c r="J124" s="153">
        <f t="shared" si="55"/>
        <v>91189</v>
      </c>
      <c r="K124" s="153">
        <f t="shared" si="55"/>
        <v>0</v>
      </c>
      <c r="L124" s="153">
        <f t="shared" si="55"/>
        <v>0</v>
      </c>
      <c r="M124" s="153">
        <f t="shared" si="55"/>
        <v>0</v>
      </c>
      <c r="N124" s="258">
        <f t="shared" si="55"/>
        <v>318</v>
      </c>
      <c r="O124" s="259">
        <f t="shared" si="55"/>
        <v>295</v>
      </c>
      <c r="P124" s="151">
        <f t="shared" si="55"/>
        <v>1106609.6</v>
      </c>
      <c r="Q124" s="258">
        <f t="shared" si="55"/>
        <v>1018960.6999999998</v>
      </c>
      <c r="R124" s="151">
        <f t="shared" si="55"/>
        <v>13741440.7</v>
      </c>
      <c r="S124" s="259">
        <f t="shared" si="55"/>
        <v>11547784.6</v>
      </c>
      <c r="T124" s="259">
        <f t="shared" si="55"/>
        <v>479233060.9</v>
      </c>
      <c r="U124" s="260"/>
      <c r="V124" s="151">
        <f>SUMIF($G$34:$G$116,$C124,V$34:V$118)</f>
        <v>57616726.86573068</v>
      </c>
      <c r="W124" s="261"/>
      <c r="X124" s="262">
        <f t="shared" si="45"/>
        <v>3.323145982708383</v>
      </c>
      <c r="Y124" s="263">
        <f t="shared" si="56"/>
        <v>32572936.778445546</v>
      </c>
      <c r="Z124" s="151">
        <f t="shared" si="56"/>
        <v>191468794.42065907</v>
      </c>
      <c r="AA124" s="81">
        <v>104398855.39916116</v>
      </c>
      <c r="AB124" s="264">
        <f>SUMIF($G$34:$G$116,$C124,AB$34:AB$118)</f>
        <v>67220673.052328</v>
      </c>
      <c r="AC124" s="126">
        <f t="shared" si="46"/>
        <v>102.45621386493235</v>
      </c>
      <c r="AD124" s="274">
        <f t="shared" si="47"/>
        <v>9.040596011737279</v>
      </c>
      <c r="AE124" s="83">
        <f t="shared" si="48"/>
        <v>1.8119539425148357</v>
      </c>
      <c r="AF124" s="275">
        <f>AA124/Z124</f>
        <v>0.5452525865379176</v>
      </c>
      <c r="AG124" s="85">
        <f t="shared" si="49"/>
        <v>56.54460163746324</v>
      </c>
      <c r="AH124" s="103">
        <f t="shared" si="50"/>
        <v>0.39953168936442024</v>
      </c>
      <c r="AI124" s="87">
        <f t="shared" si="51"/>
        <v>1.166686771516512</v>
      </c>
      <c r="AJ124" s="109">
        <f t="shared" si="52"/>
        <v>0.35107900091877864</v>
      </c>
      <c r="AK124" s="83">
        <f t="shared" si="53"/>
        <v>65.96983873109926</v>
      </c>
      <c r="AL124" s="87">
        <f t="shared" si="54"/>
        <v>5.821088233004278</v>
      </c>
    </row>
    <row r="125" spans="3:38" ht="13.5" thickBot="1">
      <c r="C125" s="276" t="s">
        <v>78</v>
      </c>
      <c r="D125" s="277"/>
      <c r="E125" s="278"/>
      <c r="F125" s="279"/>
      <c r="G125" s="5"/>
      <c r="H125" s="280">
        <v>157255</v>
      </c>
      <c r="I125" s="280">
        <f t="shared" si="55"/>
        <v>270</v>
      </c>
      <c r="J125" s="280">
        <f t="shared" si="55"/>
        <v>160586</v>
      </c>
      <c r="K125" s="280">
        <f t="shared" si="55"/>
        <v>0</v>
      </c>
      <c r="L125" s="280">
        <f t="shared" si="55"/>
        <v>0</v>
      </c>
      <c r="M125" s="280">
        <f t="shared" si="55"/>
        <v>0</v>
      </c>
      <c r="N125" s="281">
        <f t="shared" si="55"/>
        <v>529</v>
      </c>
      <c r="O125" s="282">
        <f t="shared" si="55"/>
        <v>518</v>
      </c>
      <c r="P125" s="283">
        <f t="shared" si="55"/>
        <v>2008508.5999999999</v>
      </c>
      <c r="Q125" s="281">
        <f t="shared" si="55"/>
        <v>1840590.6</v>
      </c>
      <c r="R125" s="283">
        <f t="shared" si="55"/>
        <v>24873796.5</v>
      </c>
      <c r="S125" s="282">
        <f t="shared" si="55"/>
        <v>20976316.299999997</v>
      </c>
      <c r="T125" s="282">
        <f t="shared" si="55"/>
        <v>870517126.45</v>
      </c>
      <c r="U125" s="260"/>
      <c r="V125" s="283">
        <f>SUMIF($G$34:$G$116,$C125,V$34:V$118)</f>
        <v>98873059.18430099</v>
      </c>
      <c r="W125" s="284"/>
      <c r="X125" s="285">
        <f t="shared" si="45"/>
        <v>3.9170935796134287</v>
      </c>
      <c r="Y125" s="286">
        <f t="shared" si="56"/>
        <v>55402865.20377999</v>
      </c>
      <c r="Z125" s="283">
        <f t="shared" si="56"/>
        <v>387295025.32756394</v>
      </c>
      <c r="AA125" s="138">
        <v>188315784.2805658</v>
      </c>
      <c r="AB125" s="287">
        <f>SUMIF($G$34:$G$116,$C125,AB$34:AB$118)</f>
        <v>124605927.32194635</v>
      </c>
      <c r="AC125" s="288">
        <f t="shared" si="46"/>
        <v>102.31269478425338</v>
      </c>
      <c r="AD125" s="140">
        <f t="shared" si="47"/>
        <v>8.977543129465769</v>
      </c>
      <c r="AE125" s="140">
        <f t="shared" si="48"/>
        <v>1.9046218032916542</v>
      </c>
      <c r="AF125" s="183">
        <f>AA125/Z125</f>
        <v>0.48623341888084737</v>
      </c>
      <c r="AG125" s="184">
        <f t="shared" si="49"/>
        <v>53.71811590491714</v>
      </c>
      <c r="AH125" s="289">
        <f t="shared" si="50"/>
        <v>0.4449022466760268</v>
      </c>
      <c r="AI125" s="186">
        <f t="shared" si="51"/>
        <v>1.2602616764358314</v>
      </c>
      <c r="AJ125" s="185">
        <f t="shared" si="52"/>
        <v>0.3217338699782109</v>
      </c>
      <c r="AK125" s="140">
        <f t="shared" si="53"/>
        <v>67.69888280530517</v>
      </c>
      <c r="AL125" s="186">
        <f t="shared" si="54"/>
        <v>5.940315045780768</v>
      </c>
    </row>
    <row r="126" spans="3:38" ht="34.5" customHeight="1" thickBot="1" thickTop="1">
      <c r="C126" s="574" t="s">
        <v>82</v>
      </c>
      <c r="D126" s="575"/>
      <c r="E126" s="575"/>
      <c r="F126" s="576"/>
      <c r="G126" s="13"/>
      <c r="H126" s="153">
        <v>577380</v>
      </c>
      <c r="I126" s="153">
        <f>SUM(I121:I125)</f>
        <v>103562</v>
      </c>
      <c r="J126" s="153">
        <f aca="true" t="shared" si="57" ref="J126:S126">SUM(J121:J125)</f>
        <v>587209</v>
      </c>
      <c r="K126" s="153">
        <f t="shared" si="57"/>
        <v>102686</v>
      </c>
      <c r="L126" s="153">
        <f t="shared" si="57"/>
        <v>102686</v>
      </c>
      <c r="M126" s="153">
        <f t="shared" si="57"/>
        <v>102686</v>
      </c>
      <c r="N126" s="290">
        <f t="shared" si="57"/>
        <v>1940</v>
      </c>
      <c r="O126" s="291">
        <f t="shared" si="57"/>
        <v>1913</v>
      </c>
      <c r="P126" s="292">
        <f t="shared" si="57"/>
        <v>7469737.700000001</v>
      </c>
      <c r="Q126" s="290">
        <f>SUM(Q121:Q125)</f>
        <v>6882220.1</v>
      </c>
      <c r="R126" s="293">
        <f t="shared" si="57"/>
        <v>99349110.5</v>
      </c>
      <c r="S126" s="291">
        <f t="shared" si="57"/>
        <v>84731086.1</v>
      </c>
      <c r="T126" s="291">
        <f>SUM(T121:T125)</f>
        <v>3513558092.5</v>
      </c>
      <c r="U126" s="294"/>
      <c r="V126" s="293">
        <f>SUM(V121:V125)</f>
        <v>365965303.13980556</v>
      </c>
      <c r="W126" s="295"/>
      <c r="X126" s="296">
        <f t="shared" si="45"/>
        <v>3.971282492746745</v>
      </c>
      <c r="Y126" s="297">
        <f>SUM(Y121:Y125)</f>
        <v>207356100.2131778</v>
      </c>
      <c r="Z126" s="293">
        <f>SUM(Z121:Z125)</f>
        <v>1453351601.3118653</v>
      </c>
      <c r="AA126" s="297">
        <f>SUM(AA121:AA125)</f>
        <v>724251809.4430165</v>
      </c>
      <c r="AB126" s="298">
        <f>SUM(AB121:AB125)</f>
        <v>490890455.3017118</v>
      </c>
      <c r="AC126" s="299">
        <f t="shared" si="46"/>
        <v>105.23520011268117</v>
      </c>
      <c r="AD126" s="300">
        <f t="shared" si="47"/>
        <v>8.547651668105038</v>
      </c>
      <c r="AE126" s="301">
        <f t="shared" si="48"/>
        <v>1.979017691648049</v>
      </c>
      <c r="AF126" s="302">
        <f>AA126/Z126</f>
        <v>0.49833213710245466</v>
      </c>
      <c r="AG126" s="303">
        <f t="shared" si="49"/>
        <v>53.17547213286677</v>
      </c>
      <c r="AH126" s="304">
        <f t="shared" si="50"/>
        <v>0.4136409767677309</v>
      </c>
      <c r="AI126" s="305">
        <f t="shared" si="51"/>
        <v>1.3413579131412425</v>
      </c>
      <c r="AJ126" s="306">
        <f t="shared" si="52"/>
        <v>0.3377644163040866</v>
      </c>
      <c r="AK126" s="307">
        <f t="shared" si="53"/>
        <v>71.32734033044247</v>
      </c>
      <c r="AL126" s="308">
        <f t="shared" si="54"/>
        <v>5.793510716035915</v>
      </c>
    </row>
    <row r="127" spans="3:38" ht="3" customHeight="1" hidden="1">
      <c r="C127" s="309"/>
      <c r="D127" s="310"/>
      <c r="E127" s="310"/>
      <c r="F127" s="310"/>
      <c r="G127" s="13"/>
      <c r="H127" s="153"/>
      <c r="I127" s="153"/>
      <c r="J127" s="153"/>
      <c r="K127" s="153"/>
      <c r="L127" s="153"/>
      <c r="M127" s="153"/>
      <c r="N127" s="151"/>
      <c r="O127" s="151"/>
      <c r="P127" s="151"/>
      <c r="Q127" s="151"/>
      <c r="R127" s="151"/>
      <c r="S127" s="151"/>
      <c r="T127" s="151"/>
      <c r="V127" s="151"/>
      <c r="W127" s="261"/>
      <c r="X127" s="262"/>
      <c r="Y127" s="264"/>
      <c r="Z127" s="151"/>
      <c r="AA127" s="264"/>
      <c r="AB127" s="264"/>
      <c r="AC127" s="126"/>
      <c r="AD127" s="100"/>
      <c r="AE127" s="83"/>
      <c r="AF127" s="311"/>
      <c r="AG127" s="312"/>
      <c r="AH127" s="83"/>
      <c r="AI127" s="83"/>
      <c r="AJ127" s="311"/>
      <c r="AK127" s="83"/>
      <c r="AL127" s="83"/>
    </row>
    <row r="128" spans="1:38" ht="15">
      <c r="A128" s="1"/>
      <c r="B128" s="21"/>
      <c r="C128" s="12"/>
      <c r="D128" s="4"/>
      <c r="E128" s="4"/>
      <c r="F128" s="4"/>
      <c r="G128" s="13"/>
      <c r="I128" s="151"/>
      <c r="J128" s="151"/>
      <c r="K128" s="151"/>
      <c r="L128" s="151"/>
      <c r="M128" s="151"/>
      <c r="N128" s="151"/>
      <c r="O128" s="72"/>
      <c r="P128" s="72"/>
      <c r="Q128" s="72"/>
      <c r="R128" s="72"/>
      <c r="S128" s="72"/>
      <c r="T128" s="72"/>
      <c r="U128" s="72"/>
      <c r="V128" s="313" t="s">
        <v>83</v>
      </c>
      <c r="W128" s="314"/>
      <c r="X128" s="315"/>
      <c r="Y128" s="316"/>
      <c r="Z128" s="317"/>
      <c r="AA128" s="317"/>
      <c r="AB128" s="318"/>
      <c r="AC128" s="319">
        <f>AC126*1.5</f>
        <v>157.85280016902175</v>
      </c>
      <c r="AD128" s="320">
        <f>AD126*1.5</f>
        <v>12.821477502157556</v>
      </c>
      <c r="AE128" s="320">
        <f>AE126*1.5</f>
        <v>2.9685265374720737</v>
      </c>
      <c r="AF128" s="321">
        <f>AF126*1.5</f>
        <v>0.747498205653682</v>
      </c>
      <c r="AG128" s="322">
        <f>AG33*0.75</f>
        <v>35.5155369512041</v>
      </c>
      <c r="AH128" s="323">
        <f>AH33*0.75</f>
        <v>0.3023680959689648</v>
      </c>
      <c r="AI128" s="324">
        <f>AI126*1.5</f>
        <v>2.0120368697118636</v>
      </c>
      <c r="AJ128" s="325">
        <f>AJ126*1.5</f>
        <v>0.5066466244561298</v>
      </c>
      <c r="AK128" s="326">
        <f>AK126*1.25</f>
        <v>89.15917541305308</v>
      </c>
      <c r="AL128" s="327">
        <f>AL126*1.25</f>
        <v>7.241888395044894</v>
      </c>
    </row>
    <row r="129" spans="1:38" ht="15.75" thickBot="1">
      <c r="A129" s="1"/>
      <c r="B129" s="21"/>
      <c r="C129" s="12"/>
      <c r="D129" s="4"/>
      <c r="E129" s="4"/>
      <c r="F129" s="4"/>
      <c r="G129" s="13"/>
      <c r="N129" s="151"/>
      <c r="O129" s="72"/>
      <c r="P129" s="72"/>
      <c r="Q129" s="72"/>
      <c r="R129" s="72"/>
      <c r="S129" s="72"/>
      <c r="T129" s="72"/>
      <c r="V129" s="328" t="s">
        <v>84</v>
      </c>
      <c r="W129" s="329"/>
      <c r="X129" s="330"/>
      <c r="Y129" s="330"/>
      <c r="Z129" s="331"/>
      <c r="AA129" s="331"/>
      <c r="AB129" s="332"/>
      <c r="AC129" s="333">
        <f>AC126*2</f>
        <v>210.47040022536234</v>
      </c>
      <c r="AD129" s="334">
        <f>AD126*2</f>
        <v>17.095303336210076</v>
      </c>
      <c r="AE129" s="334">
        <f>AE126*2</f>
        <v>3.958035383296098</v>
      </c>
      <c r="AF129" s="335">
        <f>AF126*2</f>
        <v>0.9966642742049093</v>
      </c>
      <c r="AG129" s="336">
        <f>AG126/2</f>
        <v>26.587736066433386</v>
      </c>
      <c r="AH129" s="337">
        <f>AH126/2</f>
        <v>0.20682048838386544</v>
      </c>
      <c r="AI129" s="338">
        <f>AI126*2</f>
        <v>2.682715826282485</v>
      </c>
      <c r="AJ129" s="339">
        <f>AJ126*2</f>
        <v>0.6755288326081732</v>
      </c>
      <c r="AK129" s="340">
        <f>AK126*2</f>
        <v>142.65468066088494</v>
      </c>
      <c r="AL129" s="341">
        <f>AL126*2</f>
        <v>11.58702143207183</v>
      </c>
    </row>
    <row r="130" spans="1:38" ht="11.25" customHeight="1" thickBot="1">
      <c r="A130" s="1"/>
      <c r="B130" s="21"/>
      <c r="C130" s="12"/>
      <c r="D130" s="4"/>
      <c r="E130" s="4"/>
      <c r="F130" s="4"/>
      <c r="G130" s="13"/>
      <c r="N130" s="151"/>
      <c r="O130" s="72"/>
      <c r="P130" s="72"/>
      <c r="Q130" s="72"/>
      <c r="R130" s="72"/>
      <c r="S130" s="72"/>
      <c r="T130" s="72"/>
      <c r="V130" s="72"/>
      <c r="W130" s="166"/>
      <c r="X130" s="262"/>
      <c r="Z130" s="342"/>
      <c r="AA130" s="343"/>
      <c r="AB130" s="343"/>
      <c r="AC130" s="344"/>
      <c r="AD130" s="344"/>
      <c r="AE130" s="344"/>
      <c r="AF130" s="345"/>
      <c r="AG130" s="346"/>
      <c r="AH130" s="344"/>
      <c r="AI130" s="344"/>
      <c r="AJ130" s="345"/>
      <c r="AK130" s="344"/>
      <c r="AL130" s="344"/>
    </row>
    <row r="131" spans="2:38" ht="13.5" customHeight="1" thickBot="1">
      <c r="B131" s="347" t="s">
        <v>85</v>
      </c>
      <c r="C131" s="348"/>
      <c r="D131" s="349"/>
      <c r="E131" s="350"/>
      <c r="F131" s="351"/>
      <c r="G131" s="352"/>
      <c r="H131" s="353"/>
      <c r="I131" s="354"/>
      <c r="J131" s="354"/>
      <c r="K131" s="355"/>
      <c r="L131" s="355"/>
      <c r="M131" s="355"/>
      <c r="N131" s="356"/>
      <c r="O131" s="356"/>
      <c r="P131" s="357"/>
      <c r="Q131" s="358">
        <v>6858000</v>
      </c>
      <c r="R131" s="359"/>
      <c r="S131" s="360">
        <f>S204-S182</f>
        <v>82924000</v>
      </c>
      <c r="T131" s="360">
        <f>S131*41.5</f>
        <v>3441346000</v>
      </c>
      <c r="U131" s="360">
        <f>U204-U182</f>
        <v>0</v>
      </c>
      <c r="V131" s="360">
        <f>V204-V182</f>
        <v>348065000</v>
      </c>
      <c r="W131" s="361"/>
      <c r="X131" s="362">
        <f>Z131/V131</f>
        <v>3.9307169637854997</v>
      </c>
      <c r="Y131" s="363">
        <f>Y204-Y182</f>
        <v>221356720</v>
      </c>
      <c r="Z131" s="360">
        <f>Z204-Z182</f>
        <v>1368145000</v>
      </c>
      <c r="AA131" s="363">
        <f>AA204-AA182</f>
        <v>728590800</v>
      </c>
      <c r="AB131" s="363">
        <f>AB204-AB182</f>
        <v>486732060</v>
      </c>
      <c r="AC131" s="364">
        <f>AA131/Q131</f>
        <v>106.2395450568679</v>
      </c>
      <c r="AD131" s="365">
        <f>AA131/S131</f>
        <v>8.786247648449182</v>
      </c>
      <c r="AE131" s="365">
        <f>AA131/V131</f>
        <v>2.0932607415281628</v>
      </c>
      <c r="AF131" s="366">
        <f>AA131/Z131</f>
        <v>0.5325391679975441</v>
      </c>
      <c r="AG131" s="367">
        <f>V131/Q131</f>
        <v>50.75313502478857</v>
      </c>
      <c r="AH131" s="368">
        <f>Z131/T131</f>
        <v>0.397561012464309</v>
      </c>
      <c r="AI131" s="369">
        <f>AB131/V131</f>
        <v>1.398394150517863</v>
      </c>
      <c r="AJ131" s="370">
        <f>AB131/Z131</f>
        <v>0.35576058093257656</v>
      </c>
      <c r="AK131" s="365">
        <f>AB131/Q131</f>
        <v>70.97288713910761</v>
      </c>
      <c r="AL131" s="369">
        <f>AB131/S131</f>
        <v>5.869616275143505</v>
      </c>
    </row>
    <row r="132" spans="1:17" ht="12.75" hidden="1">
      <c r="A132" s="371" t="s">
        <v>86</v>
      </c>
      <c r="B132" s="2"/>
      <c r="C132" s="170"/>
      <c r="D132" s="96"/>
      <c r="E132" s="96"/>
      <c r="F132" s="96"/>
      <c r="G132" s="171"/>
      <c r="H132" s="68"/>
      <c r="I132" s="68"/>
      <c r="J132" s="68"/>
      <c r="K132" s="68"/>
      <c r="L132" s="68"/>
      <c r="M132" s="68"/>
      <c r="N132" s="70"/>
      <c r="O132" s="10"/>
      <c r="P132" s="10"/>
      <c r="Q132" s="188"/>
    </row>
    <row r="133" spans="1:17" ht="12.75" hidden="1">
      <c r="A133" s="372"/>
      <c r="B133" s="2"/>
      <c r="C133" s="170"/>
      <c r="D133" s="96"/>
      <c r="E133" s="96"/>
      <c r="F133" s="96"/>
      <c r="G133" s="171"/>
      <c r="H133" s="68"/>
      <c r="I133" s="68"/>
      <c r="J133" s="68"/>
      <c r="K133" s="68"/>
      <c r="L133" s="68"/>
      <c r="M133" s="68"/>
      <c r="N133" s="70"/>
      <c r="O133" s="10"/>
      <c r="P133" s="10"/>
      <c r="Q133" s="188"/>
    </row>
    <row r="134" spans="1:17" ht="12.75" hidden="1">
      <c r="A134" s="373" t="s">
        <v>87</v>
      </c>
      <c r="B134" s="374"/>
      <c r="C134" s="375"/>
      <c r="D134" s="376"/>
      <c r="E134" s="376"/>
      <c r="F134" s="376"/>
      <c r="G134" s="377"/>
      <c r="H134" s="378"/>
      <c r="I134" s="68"/>
      <c r="J134" s="68"/>
      <c r="K134" s="68"/>
      <c r="L134" s="68"/>
      <c r="M134" s="68"/>
      <c r="N134" s="70"/>
      <c r="O134" s="10"/>
      <c r="P134" s="10"/>
      <c r="Q134" s="379">
        <v>0.006</v>
      </c>
    </row>
    <row r="135" spans="1:17" ht="12.75" hidden="1">
      <c r="A135" s="372" t="s">
        <v>88</v>
      </c>
      <c r="B135" s="2"/>
      <c r="C135" s="170"/>
      <c r="D135" s="96"/>
      <c r="E135" s="96"/>
      <c r="F135" s="96"/>
      <c r="G135" s="171"/>
      <c r="H135" s="68"/>
      <c r="I135" s="68"/>
      <c r="J135" s="68"/>
      <c r="K135" s="68"/>
      <c r="L135" s="68"/>
      <c r="M135" s="68"/>
      <c r="N135" s="70"/>
      <c r="O135" s="10"/>
      <c r="P135" s="10"/>
      <c r="Q135" s="380">
        <v>12442.91</v>
      </c>
    </row>
    <row r="136" spans="1:17" ht="12.75" hidden="1">
      <c r="A136" s="372" t="s">
        <v>89</v>
      </c>
      <c r="B136" s="2"/>
      <c r="C136" s="170"/>
      <c r="D136" s="96"/>
      <c r="E136" s="96"/>
      <c r="F136" s="96"/>
      <c r="G136" s="171"/>
      <c r="H136" s="68"/>
      <c r="I136" s="68"/>
      <c r="J136" s="68"/>
      <c r="K136" s="68"/>
      <c r="L136" s="68"/>
      <c r="M136" s="68"/>
      <c r="N136" s="70"/>
      <c r="O136" s="10"/>
      <c r="P136" s="10"/>
      <c r="Q136" s="381">
        <v>1.8416</v>
      </c>
    </row>
    <row r="137" spans="1:17" ht="12.75" hidden="1">
      <c r="A137" s="372" t="s">
        <v>90</v>
      </c>
      <c r="B137" s="2"/>
      <c r="C137" s="170"/>
      <c r="D137" s="96"/>
      <c r="E137" s="96"/>
      <c r="F137" s="96"/>
      <c r="G137" s="171"/>
      <c r="H137" s="68"/>
      <c r="I137" s="68"/>
      <c r="J137" s="68"/>
      <c r="K137" s="68"/>
      <c r="L137" s="68"/>
      <c r="M137" s="68"/>
      <c r="N137" s="70"/>
      <c r="O137" s="10"/>
      <c r="P137" s="10"/>
      <c r="Q137" s="381">
        <v>34.5687</v>
      </c>
    </row>
    <row r="138" spans="1:17" ht="13.5" hidden="1" thickBot="1">
      <c r="A138" s="382" t="s">
        <v>91</v>
      </c>
      <c r="B138" s="383"/>
      <c r="C138" s="384"/>
      <c r="D138" s="385"/>
      <c r="E138" s="385"/>
      <c r="F138" s="385"/>
      <c r="G138" s="386"/>
      <c r="H138" s="387"/>
      <c r="I138" s="387"/>
      <c r="J138" s="387"/>
      <c r="K138" s="387"/>
      <c r="L138" s="387"/>
      <c r="M138" s="387"/>
      <c r="N138" s="388"/>
      <c r="O138" s="389"/>
      <c r="P138" s="389"/>
      <c r="Q138" s="390">
        <v>0.6412</v>
      </c>
    </row>
    <row r="139" spans="1:17" ht="12.75">
      <c r="A139" s="1"/>
      <c r="B139" s="2"/>
      <c r="C139" s="170"/>
      <c r="D139" s="96"/>
      <c r="E139" s="96"/>
      <c r="F139" s="96"/>
      <c r="G139" s="171"/>
      <c r="H139" s="68"/>
      <c r="I139" s="68"/>
      <c r="J139" s="68"/>
      <c r="K139" s="68"/>
      <c r="L139" s="68"/>
      <c r="M139" s="68"/>
      <c r="N139" s="70"/>
      <c r="O139" s="10"/>
      <c r="P139" s="10"/>
      <c r="Q139" s="391"/>
    </row>
    <row r="140" spans="1:17" ht="12.75">
      <c r="A140" s="1"/>
      <c r="B140" s="2"/>
      <c r="C140" s="170"/>
      <c r="D140" s="96"/>
      <c r="E140" s="96"/>
      <c r="F140" s="96"/>
      <c r="G140" s="171"/>
      <c r="H140" s="68"/>
      <c r="I140" s="68"/>
      <c r="J140" s="68"/>
      <c r="K140" s="68"/>
      <c r="L140" s="68"/>
      <c r="M140" s="68"/>
      <c r="N140" s="70"/>
      <c r="O140" s="10"/>
      <c r="P140" s="10"/>
      <c r="Q140" s="391"/>
    </row>
    <row r="141" spans="1:38" ht="4.5" customHeight="1">
      <c r="A141" s="1"/>
      <c r="B141" s="21"/>
      <c r="C141" s="392"/>
      <c r="D141" s="393"/>
      <c r="E141" s="393"/>
      <c r="F141" s="393"/>
      <c r="G141" s="13"/>
      <c r="I141" s="151"/>
      <c r="J141" s="151"/>
      <c r="K141" s="151"/>
      <c r="L141" s="151"/>
      <c r="M141" s="151"/>
      <c r="N141" s="394"/>
      <c r="O141" s="394"/>
      <c r="P141" s="394"/>
      <c r="Q141" s="394"/>
      <c r="R141" s="394"/>
      <c r="S141" s="394"/>
      <c r="T141" s="394"/>
      <c r="U141" s="394"/>
      <c r="V141" s="394"/>
      <c r="W141" s="395"/>
      <c r="X141" s="394"/>
      <c r="Y141" s="394"/>
      <c r="Z141" s="394"/>
      <c r="AA141" s="394"/>
      <c r="AB141" s="394"/>
      <c r="AC141" s="394"/>
      <c r="AD141" s="394"/>
      <c r="AE141" s="394"/>
      <c r="AF141" s="394"/>
      <c r="AG141" s="394"/>
      <c r="AH141" s="394"/>
      <c r="AI141" s="396"/>
      <c r="AJ141" s="394"/>
      <c r="AK141" s="394"/>
      <c r="AL141" s="394"/>
    </row>
    <row r="142" spans="1:17" ht="12.75" hidden="1">
      <c r="A142" s="1"/>
      <c r="B142" s="2"/>
      <c r="C142" s="170"/>
      <c r="D142" s="96"/>
      <c r="E142" s="96"/>
      <c r="F142" s="96"/>
      <c r="G142" s="171"/>
      <c r="H142" s="68"/>
      <c r="I142" s="68"/>
      <c r="J142" s="68"/>
      <c r="K142" s="68"/>
      <c r="L142" s="68"/>
      <c r="M142" s="68"/>
      <c r="N142" s="70"/>
      <c r="O142" s="10"/>
      <c r="P142" s="10"/>
      <c r="Q142" s="391"/>
    </row>
    <row r="143" spans="1:17" ht="12.75" hidden="1">
      <c r="A143" s="1"/>
      <c r="B143" s="2"/>
      <c r="C143" s="170"/>
      <c r="D143" s="96"/>
      <c r="E143" s="96"/>
      <c r="F143" s="96"/>
      <c r="G143" s="171"/>
      <c r="H143" s="68"/>
      <c r="I143" s="68"/>
      <c r="J143" s="68"/>
      <c r="K143" s="68"/>
      <c r="L143" s="68"/>
      <c r="M143" s="68"/>
      <c r="N143" s="70"/>
      <c r="O143" s="10"/>
      <c r="P143" s="10"/>
      <c r="Q143" s="391"/>
    </row>
    <row r="144" spans="1:17" ht="12.75" hidden="1">
      <c r="A144" s="1"/>
      <c r="B144" s="2"/>
      <c r="C144" s="170"/>
      <c r="D144" s="96"/>
      <c r="E144" s="96"/>
      <c r="F144" s="96"/>
      <c r="G144" s="171"/>
      <c r="H144" s="68"/>
      <c r="I144" s="68"/>
      <c r="J144" s="68"/>
      <c r="K144" s="68"/>
      <c r="L144" s="68"/>
      <c r="M144" s="68"/>
      <c r="N144" s="70"/>
      <c r="O144" s="10"/>
      <c r="P144" s="10"/>
      <c r="Q144" s="391"/>
    </row>
    <row r="145" spans="1:7" ht="12.75" hidden="1">
      <c r="A145" s="14"/>
      <c r="B145" s="21"/>
      <c r="C145" s="12"/>
      <c r="D145" s="4"/>
      <c r="E145" s="4"/>
      <c r="F145" s="4"/>
      <c r="G145" s="13"/>
    </row>
    <row r="146" spans="1:38" ht="24" thickBot="1">
      <c r="A146" s="397"/>
      <c r="B146" s="398"/>
      <c r="C146" s="399"/>
      <c r="D146" s="400"/>
      <c r="E146" s="401"/>
      <c r="F146" s="402"/>
      <c r="G146" s="403"/>
      <c r="H146" s="404"/>
      <c r="I146" s="405"/>
      <c r="J146" s="405"/>
      <c r="K146" s="405"/>
      <c r="L146" s="405"/>
      <c r="M146" s="405"/>
      <c r="N146" s="406" t="s">
        <v>92</v>
      </c>
      <c r="O146" s="407"/>
      <c r="P146" s="408"/>
      <c r="Q146" s="409"/>
      <c r="R146" s="410"/>
      <c r="S146" s="410"/>
      <c r="T146" s="410"/>
      <c r="U146" s="411"/>
      <c r="V146" s="410"/>
      <c r="W146" s="412"/>
      <c r="X146" s="410"/>
      <c r="Y146" s="410"/>
      <c r="Z146" s="410"/>
      <c r="AA146" s="410"/>
      <c r="AB146" s="410"/>
      <c r="AC146" s="413"/>
      <c r="AD146" s="413"/>
      <c r="AE146" s="413"/>
      <c r="AF146" s="413"/>
      <c r="AG146" s="413"/>
      <c r="AH146" s="413"/>
      <c r="AJ146" s="414"/>
      <c r="AK146" s="414"/>
      <c r="AL146" s="415"/>
    </row>
    <row r="147" spans="1:38" ht="12.75">
      <c r="A147" s="416">
        <v>266</v>
      </c>
      <c r="B147" s="417"/>
      <c r="C147" s="418" t="s">
        <v>93</v>
      </c>
      <c r="D147" s="256" t="s">
        <v>94</v>
      </c>
      <c r="E147" s="419"/>
      <c r="F147" s="97"/>
      <c r="G147" s="13" t="s">
        <v>46</v>
      </c>
      <c r="H147" s="6">
        <v>7</v>
      </c>
      <c r="I147" s="6">
        <v>5</v>
      </c>
      <c r="J147" s="6">
        <v>5</v>
      </c>
      <c r="N147" s="62">
        <v>7</v>
      </c>
      <c r="O147" s="420">
        <v>5</v>
      </c>
      <c r="P147" s="421">
        <v>34175.083333333336</v>
      </c>
      <c r="Q147" s="422">
        <v>30231.65</v>
      </c>
      <c r="R147" s="421">
        <v>528821.9</v>
      </c>
      <c r="S147" s="423">
        <v>411792.4</v>
      </c>
      <c r="T147" s="421">
        <f>S147*38</f>
        <v>15648111.200000001</v>
      </c>
      <c r="U147" s="424">
        <v>0.56</v>
      </c>
      <c r="V147" s="421">
        <v>1491226</v>
      </c>
      <c r="W147" s="425"/>
      <c r="X147" s="426">
        <v>4.7</v>
      </c>
      <c r="Y147" s="427">
        <f aca="true" t="shared" si="58" ref="Y147:Y155">U147*V147</f>
        <v>835086.56</v>
      </c>
      <c r="Z147" s="421">
        <f aca="true" t="shared" si="59" ref="Z147:Z152">V147*X147</f>
        <v>7008762.2</v>
      </c>
      <c r="AA147" s="428">
        <v>1661078.0092500004</v>
      </c>
      <c r="AB147" s="81">
        <f aca="true" t="shared" si="60" ref="AB147:AB169">AA147-Y147</f>
        <v>825991.4492500003</v>
      </c>
      <c r="AC147" s="196">
        <f aca="true" t="shared" si="61" ref="AC147:AC156">AA147/Q147</f>
        <v>54.94500000000001</v>
      </c>
      <c r="AD147" s="197">
        <f aca="true" t="shared" si="62" ref="AD147:AD152">AA147/S147</f>
        <v>4.033775293691677</v>
      </c>
      <c r="AE147" s="197">
        <f aca="true" t="shared" si="63" ref="AE147:AE156">AA147/V147</f>
        <v>1.1139009172653913</v>
      </c>
      <c r="AF147" s="198">
        <f aca="true" t="shared" si="64" ref="AF147:AF156">AA147/Z147</f>
        <v>0.2370001951628492</v>
      </c>
      <c r="AG147" s="199">
        <f aca="true" t="shared" si="65" ref="AG147:AG156">V147/Q147</f>
        <v>49.32664938896818</v>
      </c>
      <c r="AH147" s="429">
        <f aca="true" t="shared" si="66" ref="AH147:AH152">Z147/T147</f>
        <v>0.4478982869191267</v>
      </c>
      <c r="AI147" s="90">
        <f aca="true" t="shared" si="67" ref="AI147:AI156">AB147/V147</f>
        <v>0.5539009172653913</v>
      </c>
      <c r="AJ147" s="88">
        <f aca="true" t="shared" si="68" ref="AJ147:AJ156">AB147/Z147</f>
        <v>0.11785125899263643</v>
      </c>
      <c r="AK147" s="83">
        <f aca="true" t="shared" si="69" ref="AK147:AK156">AB147/Q147</f>
        <v>27.322076342177827</v>
      </c>
      <c r="AL147" s="87">
        <f aca="true" t="shared" si="70" ref="AL147:AL156">AB147/S147</f>
        <v>2.005844326534439</v>
      </c>
    </row>
    <row r="148" spans="1:38" ht="12.75">
      <c r="A148" s="416">
        <v>270</v>
      </c>
      <c r="B148" s="417"/>
      <c r="C148" s="418" t="s">
        <v>95</v>
      </c>
      <c r="D148" s="256" t="s">
        <v>94</v>
      </c>
      <c r="E148" s="419"/>
      <c r="F148" s="97"/>
      <c r="G148" s="13" t="s">
        <v>46</v>
      </c>
      <c r="H148" s="6">
        <v>5</v>
      </c>
      <c r="I148" s="6">
        <v>4</v>
      </c>
      <c r="J148" s="6">
        <v>6</v>
      </c>
      <c r="N148" s="62">
        <v>5</v>
      </c>
      <c r="O148" s="420">
        <v>6</v>
      </c>
      <c r="P148" s="421">
        <v>27083.166666666668</v>
      </c>
      <c r="Q148" s="422">
        <v>24736.833333333336</v>
      </c>
      <c r="R148" s="421">
        <v>395140.5</v>
      </c>
      <c r="S148" s="423">
        <v>310047</v>
      </c>
      <c r="T148" s="421">
        <f>S148*38</f>
        <v>11781786</v>
      </c>
      <c r="U148" s="424">
        <v>0.56</v>
      </c>
      <c r="V148" s="421">
        <v>897115</v>
      </c>
      <c r="W148" s="425"/>
      <c r="X148" s="426">
        <v>4.5</v>
      </c>
      <c r="Y148" s="427">
        <f t="shared" si="58"/>
        <v>502384.4</v>
      </c>
      <c r="Z148" s="421">
        <f t="shared" si="59"/>
        <v>4037017.5</v>
      </c>
      <c r="AA148" s="428">
        <v>1359165.3075000003</v>
      </c>
      <c r="AB148" s="81">
        <f t="shared" si="60"/>
        <v>856780.9075000003</v>
      </c>
      <c r="AC148" s="82">
        <f t="shared" si="61"/>
        <v>54.94500000000001</v>
      </c>
      <c r="AD148" s="83">
        <f t="shared" si="62"/>
        <v>4.3837395862562785</v>
      </c>
      <c r="AE148" s="83">
        <f t="shared" si="63"/>
        <v>1.515040220596022</v>
      </c>
      <c r="AF148" s="84">
        <f t="shared" si="64"/>
        <v>0.33667560457689377</v>
      </c>
      <c r="AG148" s="85">
        <f t="shared" si="65"/>
        <v>36.266363924242526</v>
      </c>
      <c r="AH148" s="103">
        <f t="shared" si="66"/>
        <v>0.3426490262172475</v>
      </c>
      <c r="AI148" s="87">
        <f t="shared" si="67"/>
        <v>0.955040220596022</v>
      </c>
      <c r="AJ148" s="109">
        <f t="shared" si="68"/>
        <v>0.21223116013244933</v>
      </c>
      <c r="AK148" s="83">
        <f t="shared" si="69"/>
        <v>34.635836202424194</v>
      </c>
      <c r="AL148" s="87">
        <f t="shared" si="70"/>
        <v>2.763390413388939</v>
      </c>
    </row>
    <row r="149" spans="1:38" ht="12.75">
      <c r="A149" s="416">
        <v>256</v>
      </c>
      <c r="B149" s="417"/>
      <c r="C149" s="418" t="s">
        <v>96</v>
      </c>
      <c r="D149" s="256" t="s">
        <v>94</v>
      </c>
      <c r="E149" s="419"/>
      <c r="F149" s="97"/>
      <c r="G149" s="13" t="s">
        <v>46</v>
      </c>
      <c r="H149" s="6">
        <v>6</v>
      </c>
      <c r="I149" s="6">
        <v>5</v>
      </c>
      <c r="J149" s="6">
        <v>6</v>
      </c>
      <c r="N149" s="62">
        <v>6</v>
      </c>
      <c r="O149" s="420">
        <v>6</v>
      </c>
      <c r="P149" s="421">
        <v>28134.833333333332</v>
      </c>
      <c r="Q149" s="422">
        <v>25230.7</v>
      </c>
      <c r="R149" s="421">
        <v>408039.8</v>
      </c>
      <c r="S149" s="423">
        <v>314184.4</v>
      </c>
      <c r="T149" s="421">
        <f aca="true" t="shared" si="71" ref="T149:T170">S149*38</f>
        <v>11939007.200000001</v>
      </c>
      <c r="U149" s="424">
        <v>0.56</v>
      </c>
      <c r="V149" s="421">
        <v>859912</v>
      </c>
      <c r="W149" s="425"/>
      <c r="X149" s="426">
        <v>4.15</v>
      </c>
      <c r="Y149" s="427">
        <f t="shared" si="58"/>
        <v>481550.72000000003</v>
      </c>
      <c r="Z149" s="421">
        <f t="shared" si="59"/>
        <v>3568634.8000000003</v>
      </c>
      <c r="AA149" s="428">
        <v>1386300.8115000003</v>
      </c>
      <c r="AB149" s="81">
        <f t="shared" si="60"/>
        <v>904750.0915000003</v>
      </c>
      <c r="AC149" s="82">
        <f t="shared" si="61"/>
        <v>54.94500000000001</v>
      </c>
      <c r="AD149" s="83">
        <f t="shared" si="62"/>
        <v>4.412379518206506</v>
      </c>
      <c r="AE149" s="83">
        <f t="shared" si="63"/>
        <v>1.6121426512247767</v>
      </c>
      <c r="AF149" s="84">
        <f t="shared" si="64"/>
        <v>0.38846810872886184</v>
      </c>
      <c r="AG149" s="119">
        <f t="shared" si="65"/>
        <v>34.08197156638539</v>
      </c>
      <c r="AH149" s="113">
        <f t="shared" si="66"/>
        <v>0.2989054902320521</v>
      </c>
      <c r="AI149" s="87">
        <f t="shared" si="67"/>
        <v>1.052142651224777</v>
      </c>
      <c r="AJ149" s="109">
        <f t="shared" si="68"/>
        <v>0.2535283496927173</v>
      </c>
      <c r="AK149" s="83">
        <f t="shared" si="69"/>
        <v>35.85909592282419</v>
      </c>
      <c r="AL149" s="87">
        <f t="shared" si="70"/>
        <v>2.8796785947997425</v>
      </c>
    </row>
    <row r="150" spans="1:38" ht="12.75">
      <c r="A150" s="416">
        <v>605</v>
      </c>
      <c r="B150" s="417"/>
      <c r="C150" s="418" t="s">
        <v>97</v>
      </c>
      <c r="D150" s="256" t="s">
        <v>98</v>
      </c>
      <c r="E150" s="419"/>
      <c r="F150" s="97"/>
      <c r="G150" s="13" t="s">
        <v>46</v>
      </c>
      <c r="H150" s="6">
        <v>4</v>
      </c>
      <c r="I150" s="6">
        <v>2</v>
      </c>
      <c r="J150" s="6">
        <v>4</v>
      </c>
      <c r="N150" s="62">
        <v>4</v>
      </c>
      <c r="O150" s="420">
        <v>4</v>
      </c>
      <c r="P150" s="421">
        <v>14128.8</v>
      </c>
      <c r="Q150" s="422">
        <v>13233.3</v>
      </c>
      <c r="R150" s="421">
        <v>176287.5</v>
      </c>
      <c r="S150" s="423">
        <v>154251</v>
      </c>
      <c r="T150" s="421">
        <f>S150*25</f>
        <v>3856275</v>
      </c>
      <c r="U150" s="424">
        <v>0.25</v>
      </c>
      <c r="V150" s="421">
        <v>662014</v>
      </c>
      <c r="W150" s="425"/>
      <c r="X150" s="426">
        <v>2</v>
      </c>
      <c r="Y150" s="427">
        <f t="shared" si="58"/>
        <v>165503.5</v>
      </c>
      <c r="Z150" s="421">
        <f t="shared" si="59"/>
        <v>1324028</v>
      </c>
      <c r="AA150" s="428">
        <v>703813.0605</v>
      </c>
      <c r="AB150" s="81">
        <f t="shared" si="60"/>
        <v>538309.5605</v>
      </c>
      <c r="AC150" s="82">
        <f t="shared" si="61"/>
        <v>53.185</v>
      </c>
      <c r="AD150" s="83">
        <f t="shared" si="62"/>
        <v>4.562777943092752</v>
      </c>
      <c r="AE150" s="83">
        <f t="shared" si="63"/>
        <v>1.063139239502488</v>
      </c>
      <c r="AF150" s="84">
        <f t="shared" si="64"/>
        <v>0.531569619751244</v>
      </c>
      <c r="AG150" s="85">
        <f t="shared" si="65"/>
        <v>50.02637286240016</v>
      </c>
      <c r="AH150" s="103">
        <f t="shared" si="66"/>
        <v>0.3433437708669636</v>
      </c>
      <c r="AI150" s="87">
        <f t="shared" si="67"/>
        <v>0.8131392395024879</v>
      </c>
      <c r="AJ150" s="109">
        <f t="shared" si="68"/>
        <v>0.40656961975124395</v>
      </c>
      <c r="AK150" s="83">
        <f t="shared" si="69"/>
        <v>40.67840678439997</v>
      </c>
      <c r="AL150" s="87">
        <f t="shared" si="70"/>
        <v>3.48982865913349</v>
      </c>
    </row>
    <row r="151" spans="1:38" ht="12.75">
      <c r="A151" s="416">
        <v>254</v>
      </c>
      <c r="B151" s="417"/>
      <c r="C151" s="418" t="s">
        <v>99</v>
      </c>
      <c r="D151" s="256" t="s">
        <v>94</v>
      </c>
      <c r="E151" s="419"/>
      <c r="F151" s="97"/>
      <c r="G151" s="13" t="s">
        <v>46</v>
      </c>
      <c r="H151" s="6">
        <v>4</v>
      </c>
      <c r="I151" s="6">
        <v>3</v>
      </c>
      <c r="J151" s="6">
        <v>4</v>
      </c>
      <c r="N151" s="62">
        <v>4</v>
      </c>
      <c r="O151" s="420">
        <v>4</v>
      </c>
      <c r="P151" s="421">
        <v>18374.216666666667</v>
      </c>
      <c r="Q151" s="422">
        <v>17351.85</v>
      </c>
      <c r="R151" s="421">
        <v>237882.6</v>
      </c>
      <c r="S151" s="423">
        <v>208421.9</v>
      </c>
      <c r="T151" s="421">
        <f t="shared" si="71"/>
        <v>7920032.2</v>
      </c>
      <c r="U151" s="424">
        <v>0.56</v>
      </c>
      <c r="V151" s="421">
        <v>622439</v>
      </c>
      <c r="W151" s="425"/>
      <c r="X151" s="426">
        <v>4.25</v>
      </c>
      <c r="Y151" s="427">
        <f t="shared" si="58"/>
        <v>348565.84</v>
      </c>
      <c r="Z151" s="421">
        <f t="shared" si="59"/>
        <v>2645365.75</v>
      </c>
      <c r="AA151" s="428">
        <v>953397.3982500001</v>
      </c>
      <c r="AB151" s="81">
        <f t="shared" si="60"/>
        <v>604831.55825</v>
      </c>
      <c r="AC151" s="82">
        <f t="shared" si="61"/>
        <v>54.94500000000001</v>
      </c>
      <c r="AD151" s="83">
        <f t="shared" si="62"/>
        <v>4.574362858461611</v>
      </c>
      <c r="AE151" s="83">
        <f t="shared" si="63"/>
        <v>1.531712181033001</v>
      </c>
      <c r="AF151" s="84">
        <f t="shared" si="64"/>
        <v>0.360402866125412</v>
      </c>
      <c r="AG151" s="85">
        <f t="shared" si="65"/>
        <v>35.871621757910546</v>
      </c>
      <c r="AH151" s="103">
        <f t="shared" si="66"/>
        <v>0.3340094690524112</v>
      </c>
      <c r="AI151" s="87">
        <f t="shared" si="67"/>
        <v>0.9717121810330008</v>
      </c>
      <c r="AJ151" s="109">
        <f t="shared" si="68"/>
        <v>0.22863816024305902</v>
      </c>
      <c r="AK151" s="83">
        <f t="shared" si="69"/>
        <v>34.8568918155701</v>
      </c>
      <c r="AL151" s="87">
        <f t="shared" si="70"/>
        <v>2.9019577993003614</v>
      </c>
    </row>
    <row r="152" spans="1:38" ht="13.5" thickBot="1">
      <c r="A152" s="416">
        <v>177</v>
      </c>
      <c r="B152" s="417"/>
      <c r="C152" s="430" t="s">
        <v>100</v>
      </c>
      <c r="D152" s="277" t="s">
        <v>94</v>
      </c>
      <c r="E152" s="431"/>
      <c r="F152" s="279"/>
      <c r="G152" s="175" t="s">
        <v>46</v>
      </c>
      <c r="H152" s="178">
        <v>4</v>
      </c>
      <c r="I152" s="178">
        <v>3</v>
      </c>
      <c r="J152" s="178">
        <v>3</v>
      </c>
      <c r="K152" s="178"/>
      <c r="L152" s="178"/>
      <c r="M152" s="178"/>
      <c r="N152" s="128">
        <v>4</v>
      </c>
      <c r="O152" s="432">
        <v>3</v>
      </c>
      <c r="P152" s="433">
        <v>12329.25</v>
      </c>
      <c r="Q152" s="434">
        <v>10612.25</v>
      </c>
      <c r="R152" s="433">
        <v>219325.5</v>
      </c>
      <c r="S152" s="435">
        <v>158737.5</v>
      </c>
      <c r="T152" s="434">
        <f t="shared" si="71"/>
        <v>6032025</v>
      </c>
      <c r="U152" s="436">
        <v>0.56</v>
      </c>
      <c r="V152" s="433">
        <v>122400</v>
      </c>
      <c r="W152" s="437"/>
      <c r="X152" s="438">
        <v>4.5</v>
      </c>
      <c r="Y152" s="439">
        <f t="shared" si="58"/>
        <v>68544</v>
      </c>
      <c r="Z152" s="433">
        <f t="shared" si="59"/>
        <v>550800</v>
      </c>
      <c r="AA152" s="440">
        <v>583090.0762500002</v>
      </c>
      <c r="AB152" s="441">
        <f t="shared" si="60"/>
        <v>514546.07625000016</v>
      </c>
      <c r="AC152" s="139">
        <f t="shared" si="61"/>
        <v>54.945000000000014</v>
      </c>
      <c r="AD152" s="140">
        <f t="shared" si="62"/>
        <v>3.6732975903614467</v>
      </c>
      <c r="AE152" s="141">
        <f t="shared" si="63"/>
        <v>4.763807812500001</v>
      </c>
      <c r="AF152" s="142">
        <f t="shared" si="64"/>
        <v>1.0586239583333337</v>
      </c>
      <c r="AG152" s="143">
        <f t="shared" si="65"/>
        <v>11.533840608730477</v>
      </c>
      <c r="AH152" s="144">
        <f t="shared" si="66"/>
        <v>0.09131261889663919</v>
      </c>
      <c r="AI152" s="145">
        <f t="shared" si="67"/>
        <v>4.203807812500001</v>
      </c>
      <c r="AJ152" s="146">
        <f t="shared" si="68"/>
        <v>0.9341795138888892</v>
      </c>
      <c r="AK152" s="140">
        <f t="shared" si="69"/>
        <v>48.48604925911095</v>
      </c>
      <c r="AL152" s="186">
        <f t="shared" si="70"/>
        <v>3.241490361445784</v>
      </c>
    </row>
    <row r="153" spans="1:38" ht="13.5" hidden="1" thickTop="1">
      <c r="A153" s="416">
        <v>130</v>
      </c>
      <c r="B153" s="417"/>
      <c r="C153" s="442"/>
      <c r="D153" s="256" t="s">
        <v>94</v>
      </c>
      <c r="E153" s="443" t="s">
        <v>101</v>
      </c>
      <c r="F153" s="97"/>
      <c r="G153" s="13" t="s">
        <v>75</v>
      </c>
      <c r="H153" s="6">
        <v>9</v>
      </c>
      <c r="I153" s="6">
        <v>5</v>
      </c>
      <c r="J153" s="6">
        <v>10</v>
      </c>
      <c r="N153" s="62">
        <v>9</v>
      </c>
      <c r="O153" s="71">
        <v>10</v>
      </c>
      <c r="P153" s="444">
        <v>38889.916666666664</v>
      </c>
      <c r="Q153" s="445">
        <v>35029.083333333336</v>
      </c>
      <c r="R153" s="444">
        <v>602497</v>
      </c>
      <c r="S153" s="446">
        <v>489618</v>
      </c>
      <c r="T153" s="421">
        <f t="shared" si="71"/>
        <v>18605484</v>
      </c>
      <c r="U153" s="447">
        <f>'[1]Annual'!R147</f>
        <v>0.56</v>
      </c>
      <c r="V153" s="444">
        <v>1003609</v>
      </c>
      <c r="W153" s="448"/>
      <c r="X153" s="98">
        <v>4.5</v>
      </c>
      <c r="Y153" s="79">
        <f t="shared" si="58"/>
        <v>562021.04</v>
      </c>
      <c r="Z153" s="444">
        <v>4516240.5</v>
      </c>
      <c r="AA153" s="449"/>
      <c r="AB153" s="81">
        <f t="shared" si="60"/>
        <v>-562021.04</v>
      </c>
      <c r="AC153" s="82">
        <f t="shared" si="61"/>
        <v>0</v>
      </c>
      <c r="AD153" s="83"/>
      <c r="AE153" s="83">
        <f t="shared" si="63"/>
        <v>0</v>
      </c>
      <c r="AF153" s="84">
        <f t="shared" si="64"/>
        <v>0</v>
      </c>
      <c r="AG153" s="85">
        <f t="shared" si="65"/>
        <v>28.650735460296087</v>
      </c>
      <c r="AH153" s="83"/>
      <c r="AI153" s="87">
        <f t="shared" si="67"/>
        <v>-0.56</v>
      </c>
      <c r="AJ153" s="109">
        <f t="shared" si="68"/>
        <v>-0.12444444444444445</v>
      </c>
      <c r="AK153" s="83">
        <f t="shared" si="69"/>
        <v>-16.04441185776581</v>
      </c>
      <c r="AL153" s="87">
        <f t="shared" si="70"/>
        <v>-1.147876589504471</v>
      </c>
    </row>
    <row r="154" spans="1:38" ht="13.5" hidden="1" thickTop="1">
      <c r="A154" s="416">
        <v>205</v>
      </c>
      <c r="B154" s="417"/>
      <c r="C154" s="442"/>
      <c r="D154" s="256" t="s">
        <v>94</v>
      </c>
      <c r="E154" s="443" t="s">
        <v>102</v>
      </c>
      <c r="F154" s="97"/>
      <c r="G154" s="13" t="s">
        <v>75</v>
      </c>
      <c r="H154" s="6">
        <v>11</v>
      </c>
      <c r="I154" s="6">
        <v>7</v>
      </c>
      <c r="J154" s="6">
        <v>9</v>
      </c>
      <c r="N154" s="62">
        <v>11</v>
      </c>
      <c r="O154" s="71">
        <v>9</v>
      </c>
      <c r="P154" s="444">
        <v>41989.375</v>
      </c>
      <c r="Q154" s="445">
        <v>39847.166666666664</v>
      </c>
      <c r="R154" s="444">
        <v>624223.5</v>
      </c>
      <c r="S154" s="446">
        <v>560275.5</v>
      </c>
      <c r="T154" s="421">
        <f t="shared" si="71"/>
        <v>21290469</v>
      </c>
      <c r="U154" s="447">
        <f>'[1]Annual'!R148</f>
        <v>0.56</v>
      </c>
      <c r="V154" s="444">
        <v>1047914</v>
      </c>
      <c r="W154" s="448"/>
      <c r="X154" s="98">
        <v>4.5</v>
      </c>
      <c r="Y154" s="79">
        <f t="shared" si="58"/>
        <v>586831.8400000001</v>
      </c>
      <c r="Z154" s="444">
        <v>4715613</v>
      </c>
      <c r="AA154" s="449"/>
      <c r="AB154" s="81">
        <f t="shared" si="60"/>
        <v>-586831.8400000001</v>
      </c>
      <c r="AC154" s="82">
        <f t="shared" si="61"/>
        <v>0</v>
      </c>
      <c r="AD154" s="83"/>
      <c r="AE154" s="83">
        <f t="shared" si="63"/>
        <v>0</v>
      </c>
      <c r="AF154" s="84">
        <f t="shared" si="64"/>
        <v>0</v>
      </c>
      <c r="AG154" s="85">
        <f t="shared" si="65"/>
        <v>26.298331541765833</v>
      </c>
      <c r="AH154" s="83"/>
      <c r="AI154" s="87">
        <f t="shared" si="67"/>
        <v>-0.56</v>
      </c>
      <c r="AJ154" s="109">
        <f t="shared" si="68"/>
        <v>-0.12444444444444447</v>
      </c>
      <c r="AK154" s="83">
        <f t="shared" si="69"/>
        <v>-14.727065663388869</v>
      </c>
      <c r="AL154" s="87">
        <f t="shared" si="70"/>
        <v>-1.047398717238216</v>
      </c>
    </row>
    <row r="155" spans="1:38" ht="13.5" hidden="1" thickTop="1">
      <c r="A155" s="416">
        <v>214</v>
      </c>
      <c r="B155" s="417"/>
      <c r="C155" s="442"/>
      <c r="D155" s="256" t="s">
        <v>103</v>
      </c>
      <c r="E155" s="443" t="s">
        <v>104</v>
      </c>
      <c r="F155" s="97"/>
      <c r="G155" s="13" t="s">
        <v>75</v>
      </c>
      <c r="H155" s="450">
        <v>4</v>
      </c>
      <c r="I155" s="68">
        <v>2</v>
      </c>
      <c r="J155" s="68">
        <v>4</v>
      </c>
      <c r="K155" s="68"/>
      <c r="L155" s="68"/>
      <c r="M155" s="68"/>
      <c r="N155" s="62">
        <v>4</v>
      </c>
      <c r="O155" s="71">
        <v>4</v>
      </c>
      <c r="P155" s="444">
        <v>15103.333333333332</v>
      </c>
      <c r="Q155" s="445">
        <v>13411.666666666666</v>
      </c>
      <c r="R155" s="444">
        <v>232777.5</v>
      </c>
      <c r="S155" s="446">
        <v>175727.5</v>
      </c>
      <c r="T155" s="421">
        <f t="shared" si="71"/>
        <v>6677645</v>
      </c>
      <c r="U155" s="447">
        <v>0.25</v>
      </c>
      <c r="V155" s="444">
        <v>25915</v>
      </c>
      <c r="W155" s="448"/>
      <c r="X155" s="98">
        <v>1.5</v>
      </c>
      <c r="Y155" s="79">
        <f t="shared" si="58"/>
        <v>6478.75</v>
      </c>
      <c r="Z155" s="444">
        <v>38872.5</v>
      </c>
      <c r="AA155" s="449"/>
      <c r="AB155" s="81">
        <f t="shared" si="60"/>
        <v>-6478.75</v>
      </c>
      <c r="AC155" s="82">
        <f t="shared" si="61"/>
        <v>0</v>
      </c>
      <c r="AD155" s="83"/>
      <c r="AE155" s="83">
        <f t="shared" si="63"/>
        <v>0</v>
      </c>
      <c r="AF155" s="84">
        <f t="shared" si="64"/>
        <v>0</v>
      </c>
      <c r="AG155" s="85">
        <f t="shared" si="65"/>
        <v>1.9322728967317013</v>
      </c>
      <c r="AH155" s="83"/>
      <c r="AI155" s="87">
        <f t="shared" si="67"/>
        <v>-0.25</v>
      </c>
      <c r="AJ155" s="109">
        <f t="shared" si="68"/>
        <v>-0.16666666666666666</v>
      </c>
      <c r="AK155" s="83">
        <f t="shared" si="69"/>
        <v>-0.48306822418292533</v>
      </c>
      <c r="AL155" s="87">
        <f t="shared" si="70"/>
        <v>-0.03686816235364414</v>
      </c>
    </row>
    <row r="156" spans="1:38" ht="13.5" hidden="1" thickTop="1">
      <c r="A156" s="62">
        <v>631</v>
      </c>
      <c r="B156" s="107"/>
      <c r="C156" s="64"/>
      <c r="D156" s="256" t="s">
        <v>98</v>
      </c>
      <c r="E156" s="66" t="s">
        <v>105</v>
      </c>
      <c r="F156" s="97"/>
      <c r="G156" s="13" t="s">
        <v>75</v>
      </c>
      <c r="H156" s="6">
        <v>3</v>
      </c>
      <c r="I156" s="68">
        <v>2</v>
      </c>
      <c r="J156" s="68">
        <v>3</v>
      </c>
      <c r="K156" s="68"/>
      <c r="L156" s="68"/>
      <c r="M156" s="68"/>
      <c r="N156" s="62">
        <v>3</v>
      </c>
      <c r="O156" s="420">
        <v>3</v>
      </c>
      <c r="P156" s="10"/>
      <c r="Q156" s="445">
        <v>8817.4</v>
      </c>
      <c r="R156" s="10"/>
      <c r="S156" s="451">
        <f>Q156*12</f>
        <v>105808.79999999999</v>
      </c>
      <c r="T156" s="421">
        <f t="shared" si="71"/>
        <v>4020734.3999999994</v>
      </c>
      <c r="V156" s="72">
        <f>120*365</f>
        <v>43800</v>
      </c>
      <c r="W156" s="166"/>
      <c r="X156" s="71">
        <v>2.25</v>
      </c>
      <c r="Y156" s="79">
        <f>V156*0.25</f>
        <v>10950</v>
      </c>
      <c r="Z156" s="72">
        <f>V156*2.25</f>
        <v>98550</v>
      </c>
      <c r="AA156" s="449"/>
      <c r="AB156" s="81">
        <f t="shared" si="60"/>
        <v>-10950</v>
      </c>
      <c r="AC156" s="82">
        <f t="shared" si="61"/>
        <v>0</v>
      </c>
      <c r="AD156" s="83"/>
      <c r="AE156" s="83">
        <f t="shared" si="63"/>
        <v>0</v>
      </c>
      <c r="AF156" s="84">
        <f t="shared" si="64"/>
        <v>0</v>
      </c>
      <c r="AG156" s="85">
        <f t="shared" si="65"/>
        <v>4.967450722435185</v>
      </c>
      <c r="AH156" s="83"/>
      <c r="AI156" s="87">
        <f t="shared" si="67"/>
        <v>-0.25</v>
      </c>
      <c r="AJ156" s="109">
        <f t="shared" si="68"/>
        <v>-0.1111111111111111</v>
      </c>
      <c r="AK156" s="83">
        <f t="shared" si="69"/>
        <v>-1.2418626806087962</v>
      </c>
      <c r="AL156" s="87">
        <f t="shared" si="70"/>
        <v>-0.1034885567173997</v>
      </c>
    </row>
    <row r="157" spans="1:38" ht="13.5" hidden="1" thickTop="1">
      <c r="A157" s="62" t="s">
        <v>106</v>
      </c>
      <c r="B157" s="107"/>
      <c r="C157" s="452"/>
      <c r="D157" s="256"/>
      <c r="E157" s="257"/>
      <c r="F157" s="97"/>
      <c r="G157" s="13" t="s">
        <v>75</v>
      </c>
      <c r="H157" s="453"/>
      <c r="I157" s="68"/>
      <c r="J157" s="68"/>
      <c r="M157" s="68"/>
      <c r="N157" s="454"/>
      <c r="O157" s="420"/>
      <c r="P157" s="455"/>
      <c r="Q157" s="445"/>
      <c r="R157" s="10"/>
      <c r="S157" s="71"/>
      <c r="T157" s="421">
        <f t="shared" si="71"/>
        <v>0</v>
      </c>
      <c r="V157" s="10"/>
      <c r="W157" s="456"/>
      <c r="X157" s="71"/>
      <c r="Y157" s="79"/>
      <c r="Z157" s="10"/>
      <c r="AA157" s="449"/>
      <c r="AB157" s="81">
        <f t="shared" si="60"/>
        <v>0</v>
      </c>
      <c r="AC157" s="82"/>
      <c r="AD157" s="83"/>
      <c r="AE157" s="83"/>
      <c r="AF157" s="84"/>
      <c r="AG157" s="457"/>
      <c r="AH157" s="83"/>
      <c r="AI157" s="87"/>
      <c r="AJ157" s="109"/>
      <c r="AK157" s="83"/>
      <c r="AL157" s="87"/>
    </row>
    <row r="158" spans="1:38" ht="13.5" hidden="1" thickTop="1">
      <c r="A158" s="416">
        <v>96</v>
      </c>
      <c r="B158" s="417"/>
      <c r="C158" s="442"/>
      <c r="D158" s="256" t="s">
        <v>103</v>
      </c>
      <c r="E158" s="443" t="s">
        <v>107</v>
      </c>
      <c r="F158" s="97"/>
      <c r="G158" s="13" t="s">
        <v>76</v>
      </c>
      <c r="H158" s="6">
        <v>11</v>
      </c>
      <c r="I158" s="6">
        <v>7</v>
      </c>
      <c r="J158" s="6">
        <v>10</v>
      </c>
      <c r="N158" s="62">
        <v>11</v>
      </c>
      <c r="O158" s="71">
        <v>10</v>
      </c>
      <c r="P158" s="458">
        <v>29034.583333333336</v>
      </c>
      <c r="Q158" s="445">
        <v>26307.666666666664</v>
      </c>
      <c r="R158" s="444">
        <v>464273.5</v>
      </c>
      <c r="S158" s="446">
        <v>375532</v>
      </c>
      <c r="T158" s="421">
        <f t="shared" si="71"/>
        <v>14270216</v>
      </c>
      <c r="U158" s="447">
        <v>0.56</v>
      </c>
      <c r="V158" s="444">
        <v>361490</v>
      </c>
      <c r="W158" s="448"/>
      <c r="X158" s="98">
        <v>4.5</v>
      </c>
      <c r="Y158" s="79">
        <f>U158*V158</f>
        <v>202434.40000000002</v>
      </c>
      <c r="Z158" s="444">
        <v>1626705</v>
      </c>
      <c r="AA158" s="449"/>
      <c r="AB158" s="81">
        <f t="shared" si="60"/>
        <v>-202434.40000000002</v>
      </c>
      <c r="AC158" s="82">
        <f>AA158/Q158</f>
        <v>0</v>
      </c>
      <c r="AD158" s="83"/>
      <c r="AE158" s="83">
        <f>AA158/V158</f>
        <v>0</v>
      </c>
      <c r="AF158" s="84">
        <f>AA158/Z158</f>
        <v>0</v>
      </c>
      <c r="AG158" s="85">
        <f>V158/Q158</f>
        <v>13.74086134586876</v>
      </c>
      <c r="AH158" s="83"/>
      <c r="AI158" s="87">
        <f>AB158/V158</f>
        <v>-0.56</v>
      </c>
      <c r="AJ158" s="109">
        <f>AB158/Z158</f>
        <v>-0.12444444444444445</v>
      </c>
      <c r="AK158" s="83">
        <f>AB158/Q158</f>
        <v>-7.6948823536865065</v>
      </c>
      <c r="AL158" s="87">
        <f>AB158/S158</f>
        <v>-0.5390603197597009</v>
      </c>
    </row>
    <row r="159" spans="1:38" ht="13.5" hidden="1" thickTop="1">
      <c r="A159" s="416">
        <v>167</v>
      </c>
      <c r="B159" s="417"/>
      <c r="C159" s="442"/>
      <c r="D159" s="256" t="s">
        <v>103</v>
      </c>
      <c r="E159" s="443" t="s">
        <v>108</v>
      </c>
      <c r="F159" s="97"/>
      <c r="G159" s="13" t="s">
        <v>76</v>
      </c>
      <c r="H159" s="6">
        <v>7</v>
      </c>
      <c r="I159" s="6">
        <v>4</v>
      </c>
      <c r="J159" s="6">
        <v>7</v>
      </c>
      <c r="N159" s="62">
        <v>7</v>
      </c>
      <c r="O159" s="71">
        <v>7</v>
      </c>
      <c r="P159" s="444">
        <v>29034.583333333336</v>
      </c>
      <c r="Q159" s="445">
        <v>26307.666666666664</v>
      </c>
      <c r="R159" s="444">
        <v>464273.5</v>
      </c>
      <c r="S159" s="446">
        <v>375532</v>
      </c>
      <c r="T159" s="421">
        <f t="shared" si="71"/>
        <v>14270216</v>
      </c>
      <c r="U159" s="447">
        <v>0.56</v>
      </c>
      <c r="V159" s="444">
        <v>361490</v>
      </c>
      <c r="W159" s="448"/>
      <c r="X159" s="98">
        <v>4.5</v>
      </c>
      <c r="Y159" s="79">
        <f>U159*V159</f>
        <v>202434.40000000002</v>
      </c>
      <c r="Z159" s="444">
        <v>1626705</v>
      </c>
      <c r="AA159" s="449"/>
      <c r="AB159" s="81">
        <f t="shared" si="60"/>
        <v>-202434.40000000002</v>
      </c>
      <c r="AC159" s="82">
        <f>AA159/Q159</f>
        <v>0</v>
      </c>
      <c r="AD159" s="83"/>
      <c r="AE159" s="83">
        <f>AA159/V159</f>
        <v>0</v>
      </c>
      <c r="AF159" s="84">
        <f>AA159/Z159</f>
        <v>0</v>
      </c>
      <c r="AG159" s="85">
        <f>V159/Q159</f>
        <v>13.74086134586876</v>
      </c>
      <c r="AH159" s="83"/>
      <c r="AI159" s="87">
        <f>AB159/V159</f>
        <v>-0.56</v>
      </c>
      <c r="AJ159" s="109">
        <f>AB159/Z159</f>
        <v>-0.12444444444444445</v>
      </c>
      <c r="AK159" s="83">
        <f>AB159/Q159</f>
        <v>-7.6948823536865065</v>
      </c>
      <c r="AL159" s="87">
        <f>AB159/S159</f>
        <v>-0.5390603197597009</v>
      </c>
    </row>
    <row r="160" spans="1:38" ht="13.5" hidden="1" thickTop="1">
      <c r="A160" s="416" t="s">
        <v>109</v>
      </c>
      <c r="B160" s="417"/>
      <c r="C160" s="459"/>
      <c r="D160" s="96"/>
      <c r="E160" s="257"/>
      <c r="F160" s="97"/>
      <c r="G160" s="13" t="s">
        <v>76</v>
      </c>
      <c r="H160" s="453"/>
      <c r="I160" s="68"/>
      <c r="J160" s="68"/>
      <c r="M160" s="68"/>
      <c r="N160" s="454"/>
      <c r="O160" s="420"/>
      <c r="P160" s="455"/>
      <c r="Q160" s="445"/>
      <c r="R160" s="10"/>
      <c r="S160" s="71"/>
      <c r="T160" s="421">
        <f t="shared" si="71"/>
        <v>0</v>
      </c>
      <c r="V160" s="10"/>
      <c r="W160" s="456"/>
      <c r="X160" s="71"/>
      <c r="Y160" s="79"/>
      <c r="Z160" s="10"/>
      <c r="AA160" s="449"/>
      <c r="AB160" s="81">
        <f t="shared" si="60"/>
        <v>0</v>
      </c>
      <c r="AC160" s="82"/>
      <c r="AD160" s="83"/>
      <c r="AE160" s="83"/>
      <c r="AF160" s="84"/>
      <c r="AG160" s="457"/>
      <c r="AH160" s="83"/>
      <c r="AI160" s="87"/>
      <c r="AJ160" s="109"/>
      <c r="AK160" s="83"/>
      <c r="AL160" s="87"/>
    </row>
    <row r="161" spans="1:38" ht="13.5" hidden="1" thickTop="1">
      <c r="A161" s="416">
        <v>125</v>
      </c>
      <c r="B161" s="417"/>
      <c r="C161" s="442"/>
      <c r="D161" s="256" t="s">
        <v>94</v>
      </c>
      <c r="E161" s="443" t="s">
        <v>110</v>
      </c>
      <c r="F161" s="97"/>
      <c r="G161" s="13" t="s">
        <v>77</v>
      </c>
      <c r="H161" s="6">
        <v>13</v>
      </c>
      <c r="I161" s="6">
        <v>10</v>
      </c>
      <c r="J161" s="6">
        <v>14</v>
      </c>
      <c r="N161" s="62">
        <v>13</v>
      </c>
      <c r="O161" s="71">
        <v>14</v>
      </c>
      <c r="P161" s="444">
        <v>59896.51666666666</v>
      </c>
      <c r="Q161" s="445">
        <v>54418.48333333334</v>
      </c>
      <c r="R161" s="444">
        <v>1155694.85</v>
      </c>
      <c r="S161" s="446">
        <v>983444.2</v>
      </c>
      <c r="T161" s="421">
        <f t="shared" si="71"/>
        <v>37370879.6</v>
      </c>
      <c r="U161" s="447">
        <v>0.56</v>
      </c>
      <c r="V161" s="444">
        <v>2365396</v>
      </c>
      <c r="W161" s="448"/>
      <c r="X161" s="98">
        <v>4.5</v>
      </c>
      <c r="Y161" s="79">
        <f>U161*V161</f>
        <v>1324621.7600000002</v>
      </c>
      <c r="Z161" s="444">
        <v>10644282</v>
      </c>
      <c r="AA161" s="449"/>
      <c r="AB161" s="81">
        <f t="shared" si="60"/>
        <v>-1324621.7600000002</v>
      </c>
      <c r="AC161" s="82">
        <f aca="true" t="shared" si="72" ref="AC161:AC169">AA161/Q161</f>
        <v>0</v>
      </c>
      <c r="AD161" s="83"/>
      <c r="AE161" s="83">
        <f aca="true" t="shared" si="73" ref="AE161:AE169">AA161/V161</f>
        <v>0</v>
      </c>
      <c r="AF161" s="84">
        <f aca="true" t="shared" si="74" ref="AF161:AF169">AA161/Z161</f>
        <v>0</v>
      </c>
      <c r="AG161" s="85">
        <f aca="true" t="shared" si="75" ref="AG161:AG169">V161/Q161</f>
        <v>43.46677553490557</v>
      </c>
      <c r="AH161" s="83"/>
      <c r="AI161" s="87">
        <f aca="true" t="shared" si="76" ref="AI161:AI171">AB161/V161</f>
        <v>-0.56</v>
      </c>
      <c r="AJ161" s="109">
        <f aca="true" t="shared" si="77" ref="AJ161:AJ171">AB161/Z161</f>
        <v>-0.12444444444444447</v>
      </c>
      <c r="AK161" s="83">
        <f aca="true" t="shared" si="78" ref="AK161:AK171">AB161/Q161</f>
        <v>-24.341394299547122</v>
      </c>
      <c r="AL161" s="87">
        <f aca="true" t="shared" si="79" ref="AL161:AL171">AB161/S161</f>
        <v>-1.3469211166225805</v>
      </c>
    </row>
    <row r="162" spans="1:38" ht="13.5" hidden="1" thickTop="1">
      <c r="A162" s="416">
        <v>128</v>
      </c>
      <c r="B162" s="417"/>
      <c r="C162" s="442"/>
      <c r="D162" s="256" t="s">
        <v>94</v>
      </c>
      <c r="E162" s="443" t="s">
        <v>111</v>
      </c>
      <c r="F162" s="97"/>
      <c r="G162" s="13" t="s">
        <v>77</v>
      </c>
      <c r="H162" s="6">
        <v>4</v>
      </c>
      <c r="I162" s="6">
        <v>3</v>
      </c>
      <c r="J162" s="6">
        <v>3</v>
      </c>
      <c r="N162" s="62">
        <v>4</v>
      </c>
      <c r="O162" s="71">
        <v>3</v>
      </c>
      <c r="P162" s="444">
        <v>11317.75</v>
      </c>
      <c r="Q162" s="445">
        <v>10697.25</v>
      </c>
      <c r="R162" s="444">
        <v>153178.5</v>
      </c>
      <c r="S162" s="446">
        <v>134920.5</v>
      </c>
      <c r="T162" s="421">
        <f t="shared" si="71"/>
        <v>5126979</v>
      </c>
      <c r="U162" s="447">
        <v>0.56</v>
      </c>
      <c r="V162" s="444">
        <v>636225</v>
      </c>
      <c r="W162" s="448"/>
      <c r="X162" s="98">
        <v>4.5</v>
      </c>
      <c r="Y162" s="79">
        <f>U162*V162</f>
        <v>356286.00000000006</v>
      </c>
      <c r="Z162" s="444">
        <v>2863012.5</v>
      </c>
      <c r="AA162" s="449"/>
      <c r="AB162" s="81">
        <f t="shared" si="60"/>
        <v>-356286.00000000006</v>
      </c>
      <c r="AC162" s="82">
        <f t="shared" si="72"/>
        <v>0</v>
      </c>
      <c r="AD162" s="83"/>
      <c r="AE162" s="83">
        <f t="shared" si="73"/>
        <v>0</v>
      </c>
      <c r="AF162" s="84">
        <f t="shared" si="74"/>
        <v>0</v>
      </c>
      <c r="AG162" s="85">
        <f t="shared" si="75"/>
        <v>59.475566150178786</v>
      </c>
      <c r="AH162" s="83"/>
      <c r="AI162" s="87">
        <f t="shared" si="76"/>
        <v>-0.56</v>
      </c>
      <c r="AJ162" s="109">
        <f t="shared" si="77"/>
        <v>-0.12444444444444447</v>
      </c>
      <c r="AK162" s="83">
        <f t="shared" si="78"/>
        <v>-33.306317044100126</v>
      </c>
      <c r="AL162" s="87">
        <f t="shared" si="79"/>
        <v>-2.6407106407106413</v>
      </c>
    </row>
    <row r="163" spans="1:38" ht="13.5" hidden="1" thickTop="1">
      <c r="A163" s="416">
        <v>225</v>
      </c>
      <c r="B163" s="417"/>
      <c r="C163" s="442"/>
      <c r="D163" s="256" t="s">
        <v>94</v>
      </c>
      <c r="E163" s="443" t="s">
        <v>112</v>
      </c>
      <c r="F163" s="97"/>
      <c r="G163" s="13" t="s">
        <v>77</v>
      </c>
      <c r="H163" s="6">
        <v>8</v>
      </c>
      <c r="I163" s="6">
        <v>5</v>
      </c>
      <c r="J163" s="6">
        <v>6</v>
      </c>
      <c r="N163" s="62">
        <v>8</v>
      </c>
      <c r="O163" s="71">
        <v>6</v>
      </c>
      <c r="P163" s="444">
        <v>27173.11666666667</v>
      </c>
      <c r="Q163" s="445">
        <v>22800.516666666666</v>
      </c>
      <c r="R163" s="444">
        <v>508991.85</v>
      </c>
      <c r="S163" s="446">
        <v>373859.7</v>
      </c>
      <c r="T163" s="421">
        <f t="shared" si="71"/>
        <v>14206668.6</v>
      </c>
      <c r="U163" s="447">
        <v>0.56</v>
      </c>
      <c r="V163" s="444">
        <v>428632</v>
      </c>
      <c r="W163" s="448"/>
      <c r="X163" s="98">
        <v>4.5</v>
      </c>
      <c r="Y163" s="79">
        <f>U163*V163</f>
        <v>240033.92</v>
      </c>
      <c r="Z163" s="444">
        <v>1928844</v>
      </c>
      <c r="AA163" s="449"/>
      <c r="AB163" s="81">
        <f t="shared" si="60"/>
        <v>-240033.92</v>
      </c>
      <c r="AC163" s="82">
        <f t="shared" si="72"/>
        <v>0</v>
      </c>
      <c r="AD163" s="83"/>
      <c r="AE163" s="83">
        <f t="shared" si="73"/>
        <v>0</v>
      </c>
      <c r="AF163" s="84">
        <f t="shared" si="74"/>
        <v>0</v>
      </c>
      <c r="AG163" s="85">
        <f t="shared" si="75"/>
        <v>18.79922311702001</v>
      </c>
      <c r="AH163" s="83"/>
      <c r="AI163" s="87">
        <f t="shared" si="76"/>
        <v>-0.56</v>
      </c>
      <c r="AJ163" s="109">
        <f t="shared" si="77"/>
        <v>-0.12444444444444445</v>
      </c>
      <c r="AK163" s="83">
        <f t="shared" si="78"/>
        <v>-10.527564945531205</v>
      </c>
      <c r="AL163" s="87">
        <f t="shared" si="79"/>
        <v>-0.6420427770096644</v>
      </c>
    </row>
    <row r="164" spans="1:38" ht="13.5" hidden="1" thickTop="1">
      <c r="A164" s="416">
        <v>232</v>
      </c>
      <c r="B164" s="417"/>
      <c r="C164" s="442"/>
      <c r="D164" s="256" t="s">
        <v>94</v>
      </c>
      <c r="E164" s="443" t="s">
        <v>113</v>
      </c>
      <c r="F164" s="97"/>
      <c r="G164" s="13" t="s">
        <v>77</v>
      </c>
      <c r="H164" s="450">
        <v>13</v>
      </c>
      <c r="I164" s="68">
        <v>8</v>
      </c>
      <c r="J164" s="68">
        <v>16</v>
      </c>
      <c r="K164" s="68"/>
      <c r="L164" s="68"/>
      <c r="M164" s="68"/>
      <c r="N164" s="62">
        <v>13</v>
      </c>
      <c r="O164" s="71">
        <v>16</v>
      </c>
      <c r="P164" s="444">
        <v>57139.058333333334</v>
      </c>
      <c r="Q164" s="445">
        <v>52464.6</v>
      </c>
      <c r="R164" s="444">
        <v>893611.4</v>
      </c>
      <c r="S164" s="446">
        <v>747057.1</v>
      </c>
      <c r="T164" s="421">
        <f t="shared" si="71"/>
        <v>28388169.8</v>
      </c>
      <c r="U164" s="447">
        <v>0.25</v>
      </c>
      <c r="V164" s="444">
        <v>1853998</v>
      </c>
      <c r="W164" s="448"/>
      <c r="X164" s="98">
        <v>4.5</v>
      </c>
      <c r="Y164" s="79">
        <f>U164*V164</f>
        <v>463499.5</v>
      </c>
      <c r="Z164" s="444">
        <v>8342991</v>
      </c>
      <c r="AA164" s="449"/>
      <c r="AB164" s="81">
        <f t="shared" si="60"/>
        <v>-463499.5</v>
      </c>
      <c r="AC164" s="82">
        <f t="shared" si="72"/>
        <v>0</v>
      </c>
      <c r="AD164" s="83"/>
      <c r="AE164" s="83">
        <f t="shared" si="73"/>
        <v>0</v>
      </c>
      <c r="AF164" s="84">
        <f t="shared" si="74"/>
        <v>0</v>
      </c>
      <c r="AG164" s="85">
        <f t="shared" si="75"/>
        <v>35.33807557858061</v>
      </c>
      <c r="AH164" s="83"/>
      <c r="AI164" s="87">
        <f t="shared" si="76"/>
        <v>-0.25</v>
      </c>
      <c r="AJ164" s="109">
        <f t="shared" si="77"/>
        <v>-0.05555555555555555</v>
      </c>
      <c r="AK164" s="83">
        <f t="shared" si="78"/>
        <v>-8.834518894645152</v>
      </c>
      <c r="AL164" s="87">
        <f t="shared" si="79"/>
        <v>-0.6204338329693941</v>
      </c>
    </row>
    <row r="165" spans="1:38" ht="13.5" hidden="1" thickTop="1">
      <c r="A165" s="62">
        <v>646</v>
      </c>
      <c r="B165" s="107"/>
      <c r="C165" s="64"/>
      <c r="D165" s="256" t="s">
        <v>98</v>
      </c>
      <c r="E165" s="66" t="s">
        <v>114</v>
      </c>
      <c r="F165" s="97"/>
      <c r="G165" s="13" t="s">
        <v>77</v>
      </c>
      <c r="H165" s="6">
        <v>0</v>
      </c>
      <c r="I165" s="68">
        <v>0</v>
      </c>
      <c r="J165" s="68">
        <v>0</v>
      </c>
      <c r="K165" s="68"/>
      <c r="L165" s="68"/>
      <c r="M165" s="68"/>
      <c r="N165" s="62">
        <v>0</v>
      </c>
      <c r="O165" s="420">
        <v>0</v>
      </c>
      <c r="P165" s="10"/>
      <c r="Q165" s="445">
        <v>1320.1</v>
      </c>
      <c r="R165" s="10"/>
      <c r="S165" s="451">
        <f>Q165*25</f>
        <v>33002.5</v>
      </c>
      <c r="T165" s="421">
        <f t="shared" si="71"/>
        <v>1254095</v>
      </c>
      <c r="V165" s="460">
        <f>Q165*12</f>
        <v>15841.199999999999</v>
      </c>
      <c r="W165" s="461"/>
      <c r="X165" s="462">
        <v>4.5</v>
      </c>
      <c r="Y165" s="79">
        <f>S165*0.45</f>
        <v>14851.125</v>
      </c>
      <c r="Z165" s="460">
        <f>V165*4.5</f>
        <v>71285.4</v>
      </c>
      <c r="AA165" s="449"/>
      <c r="AB165" s="81">
        <f t="shared" si="60"/>
        <v>-14851.125</v>
      </c>
      <c r="AC165" s="82">
        <f t="shared" si="72"/>
        <v>0</v>
      </c>
      <c r="AD165" s="83"/>
      <c r="AE165" s="83">
        <f t="shared" si="73"/>
        <v>0</v>
      </c>
      <c r="AF165" s="84">
        <f t="shared" si="74"/>
        <v>0</v>
      </c>
      <c r="AG165" s="85">
        <f t="shared" si="75"/>
        <v>12</v>
      </c>
      <c r="AH165" s="83"/>
      <c r="AI165" s="87">
        <f t="shared" si="76"/>
        <v>-0.9375000000000001</v>
      </c>
      <c r="AJ165" s="109">
        <f t="shared" si="77"/>
        <v>-0.20833333333333334</v>
      </c>
      <c r="AK165" s="83">
        <f t="shared" si="78"/>
        <v>-11.25</v>
      </c>
      <c r="AL165" s="87">
        <f t="shared" si="79"/>
        <v>-0.45</v>
      </c>
    </row>
    <row r="166" spans="1:38" ht="13.5" hidden="1" thickTop="1">
      <c r="A166" s="62" t="s">
        <v>115</v>
      </c>
      <c r="B166" s="107"/>
      <c r="C166" s="463"/>
      <c r="D166" s="256" t="s">
        <v>98</v>
      </c>
      <c r="E166" s="257" t="s">
        <v>116</v>
      </c>
      <c r="F166" s="97"/>
      <c r="G166" s="13" t="s">
        <v>77</v>
      </c>
      <c r="H166" s="464">
        <v>8</v>
      </c>
      <c r="I166" s="68">
        <v>4</v>
      </c>
      <c r="J166" s="68">
        <v>6</v>
      </c>
      <c r="K166" s="68"/>
      <c r="L166" s="68"/>
      <c r="M166" s="68"/>
      <c r="N166" s="454">
        <v>8</v>
      </c>
      <c r="O166" s="420">
        <v>6</v>
      </c>
      <c r="P166" s="455"/>
      <c r="Q166" s="445">
        <v>22338</v>
      </c>
      <c r="R166" s="10"/>
      <c r="S166" s="451">
        <f>Q166*11</f>
        <v>245718</v>
      </c>
      <c r="T166" s="421">
        <f t="shared" si="71"/>
        <v>9337284</v>
      </c>
      <c r="V166" s="460">
        <f>Q166*14</f>
        <v>312732</v>
      </c>
      <c r="W166" s="461"/>
      <c r="X166" s="462">
        <v>2.1</v>
      </c>
      <c r="Y166" s="79">
        <f>S166*0.45</f>
        <v>110573.1</v>
      </c>
      <c r="Z166" s="460">
        <f>V166*2.1</f>
        <v>656737.2000000001</v>
      </c>
      <c r="AA166" s="449"/>
      <c r="AB166" s="81">
        <f t="shared" si="60"/>
        <v>-110573.1</v>
      </c>
      <c r="AC166" s="82">
        <f t="shared" si="72"/>
        <v>0</v>
      </c>
      <c r="AD166" s="83"/>
      <c r="AE166" s="83">
        <f t="shared" si="73"/>
        <v>0</v>
      </c>
      <c r="AF166" s="84">
        <f t="shared" si="74"/>
        <v>0</v>
      </c>
      <c r="AG166" s="85">
        <f t="shared" si="75"/>
        <v>14</v>
      </c>
      <c r="AH166" s="83"/>
      <c r="AI166" s="87">
        <f t="shared" si="76"/>
        <v>-0.3535714285714286</v>
      </c>
      <c r="AJ166" s="109">
        <f t="shared" si="77"/>
        <v>-0.1683673469387755</v>
      </c>
      <c r="AK166" s="83">
        <f t="shared" si="78"/>
        <v>-4.95</v>
      </c>
      <c r="AL166" s="87">
        <f t="shared" si="79"/>
        <v>-0.45</v>
      </c>
    </row>
    <row r="167" spans="1:38" ht="13.5" hidden="1" thickTop="1">
      <c r="A167" s="416">
        <v>58</v>
      </c>
      <c r="B167" s="417"/>
      <c r="C167" s="442"/>
      <c r="D167" s="256" t="s">
        <v>117</v>
      </c>
      <c r="E167" s="443" t="s">
        <v>118</v>
      </c>
      <c r="F167" s="97"/>
      <c r="G167" s="13" t="s">
        <v>119</v>
      </c>
      <c r="H167" s="450">
        <v>5</v>
      </c>
      <c r="I167" s="68">
        <v>5</v>
      </c>
      <c r="J167" s="68">
        <v>5</v>
      </c>
      <c r="K167" s="68"/>
      <c r="L167" s="68"/>
      <c r="M167" s="68"/>
      <c r="N167" s="62">
        <v>5</v>
      </c>
      <c r="O167" s="71">
        <v>5</v>
      </c>
      <c r="P167" s="444">
        <v>23293.333333333336</v>
      </c>
      <c r="Q167" s="445">
        <v>21906.5</v>
      </c>
      <c r="R167" s="444">
        <v>330138.8</v>
      </c>
      <c r="S167" s="446">
        <v>175806</v>
      </c>
      <c r="T167" s="421">
        <f t="shared" si="71"/>
        <v>6680628</v>
      </c>
      <c r="U167" s="447">
        <v>0.56</v>
      </c>
      <c r="V167" s="444">
        <v>239075</v>
      </c>
      <c r="W167" s="448"/>
      <c r="X167" s="98">
        <v>2.5</v>
      </c>
      <c r="Y167" s="79">
        <f>U167*V167</f>
        <v>133882</v>
      </c>
      <c r="Z167" s="444">
        <v>597687.5</v>
      </c>
      <c r="AA167" s="449"/>
      <c r="AB167" s="81">
        <f t="shared" si="60"/>
        <v>-133882</v>
      </c>
      <c r="AC167" s="82">
        <f t="shared" si="72"/>
        <v>0</v>
      </c>
      <c r="AD167" s="83"/>
      <c r="AE167" s="83">
        <f t="shared" si="73"/>
        <v>0</v>
      </c>
      <c r="AF167" s="84">
        <f t="shared" si="74"/>
        <v>0</v>
      </c>
      <c r="AG167" s="85">
        <f t="shared" si="75"/>
        <v>10.91342752151188</v>
      </c>
      <c r="AH167" s="83"/>
      <c r="AI167" s="87">
        <f t="shared" si="76"/>
        <v>-0.56</v>
      </c>
      <c r="AJ167" s="109">
        <f t="shared" si="77"/>
        <v>-0.224</v>
      </c>
      <c r="AK167" s="83">
        <f t="shared" si="78"/>
        <v>-6.111519412046653</v>
      </c>
      <c r="AL167" s="87">
        <f t="shared" si="79"/>
        <v>-0.761532598432363</v>
      </c>
    </row>
    <row r="168" spans="1:38" ht="13.5" hidden="1" thickTop="1">
      <c r="A168" s="416">
        <v>218</v>
      </c>
      <c r="B168" s="417"/>
      <c r="C168" s="442"/>
      <c r="D168" s="256" t="s">
        <v>98</v>
      </c>
      <c r="E168" s="443" t="s">
        <v>120</v>
      </c>
      <c r="F168" s="97"/>
      <c r="G168" s="13" t="s">
        <v>119</v>
      </c>
      <c r="H168" s="6">
        <v>6</v>
      </c>
      <c r="I168" s="68">
        <v>3</v>
      </c>
      <c r="J168" s="68">
        <v>6</v>
      </c>
      <c r="K168" s="68"/>
      <c r="L168" s="68"/>
      <c r="M168" s="68"/>
      <c r="N168" s="62">
        <v>6</v>
      </c>
      <c r="O168" s="71">
        <v>6</v>
      </c>
      <c r="P168" s="444">
        <v>21169.4</v>
      </c>
      <c r="Q168" s="445">
        <v>18546.4</v>
      </c>
      <c r="R168" s="444">
        <v>297344.5</v>
      </c>
      <c r="S168" s="446">
        <v>229544.5</v>
      </c>
      <c r="T168" s="421">
        <f>S168*30</f>
        <v>6886335</v>
      </c>
      <c r="U168" s="447">
        <v>0.56</v>
      </c>
      <c r="V168" s="444">
        <v>408848</v>
      </c>
      <c r="W168" s="448"/>
      <c r="X168" s="98">
        <v>2.5</v>
      </c>
      <c r="Y168" s="79">
        <f>U168*V168</f>
        <v>228954.88000000003</v>
      </c>
      <c r="Z168" s="444">
        <v>1022120</v>
      </c>
      <c r="AA168" s="449"/>
      <c r="AB168" s="81">
        <f t="shared" si="60"/>
        <v>-228954.88000000003</v>
      </c>
      <c r="AC168" s="82">
        <f t="shared" si="72"/>
        <v>0</v>
      </c>
      <c r="AD168" s="83"/>
      <c r="AE168" s="83">
        <f t="shared" si="73"/>
        <v>0</v>
      </c>
      <c r="AF168" s="84">
        <f t="shared" si="74"/>
        <v>0</v>
      </c>
      <c r="AG168" s="85">
        <f t="shared" si="75"/>
        <v>22.044601647759134</v>
      </c>
      <c r="AH168" s="83"/>
      <c r="AI168" s="87">
        <f t="shared" si="76"/>
        <v>-0.56</v>
      </c>
      <c r="AJ168" s="109">
        <f t="shared" si="77"/>
        <v>-0.22400000000000003</v>
      </c>
      <c r="AK168" s="83">
        <f t="shared" si="78"/>
        <v>-12.344976922745115</v>
      </c>
      <c r="AL168" s="87">
        <f t="shared" si="79"/>
        <v>-0.9974313477343174</v>
      </c>
    </row>
    <row r="169" spans="1:38" ht="14.25" hidden="1" thickBot="1" thickTop="1">
      <c r="A169" s="416">
        <v>603</v>
      </c>
      <c r="B169" s="417"/>
      <c r="C169" s="442"/>
      <c r="D169" s="256" t="s">
        <v>98</v>
      </c>
      <c r="E169" s="443" t="s">
        <v>121</v>
      </c>
      <c r="F169" s="97"/>
      <c r="G169" s="13" t="s">
        <v>119</v>
      </c>
      <c r="H169" s="6">
        <v>9</v>
      </c>
      <c r="I169" s="178">
        <v>7</v>
      </c>
      <c r="J169" s="178">
        <v>9</v>
      </c>
      <c r="K169" s="178"/>
      <c r="L169" s="178"/>
      <c r="M169" s="178"/>
      <c r="N169" s="128">
        <v>9</v>
      </c>
      <c r="O169" s="129">
        <v>9</v>
      </c>
      <c r="P169" s="465">
        <v>42184.5</v>
      </c>
      <c r="Q169" s="466">
        <v>40324.5</v>
      </c>
      <c r="R169" s="465">
        <v>468480.6</v>
      </c>
      <c r="S169" s="467">
        <v>428759.6</v>
      </c>
      <c r="T169" s="434">
        <f>S169*28</f>
        <v>12005268.799999999</v>
      </c>
      <c r="U169" s="133">
        <v>0.25</v>
      </c>
      <c r="V169" s="465">
        <v>1325613</v>
      </c>
      <c r="W169" s="468"/>
      <c r="X169" s="135">
        <v>2.5</v>
      </c>
      <c r="Y169" s="136">
        <f>U169*V169</f>
        <v>331403.25</v>
      </c>
      <c r="Z169" s="465">
        <v>3314032.5</v>
      </c>
      <c r="AA169" s="441"/>
      <c r="AB169" s="138">
        <f t="shared" si="60"/>
        <v>-331403.25</v>
      </c>
      <c r="AC169" s="139">
        <f t="shared" si="72"/>
        <v>0</v>
      </c>
      <c r="AD169" s="140"/>
      <c r="AE169" s="140">
        <f t="shared" si="73"/>
        <v>0</v>
      </c>
      <c r="AF169" s="183">
        <f t="shared" si="74"/>
        <v>0</v>
      </c>
      <c r="AG169" s="184">
        <f t="shared" si="75"/>
        <v>32.873637614849535</v>
      </c>
      <c r="AH169" s="140"/>
      <c r="AI169" s="87">
        <f t="shared" si="76"/>
        <v>-0.25</v>
      </c>
      <c r="AJ169" s="185">
        <f t="shared" si="77"/>
        <v>-0.1</v>
      </c>
      <c r="AK169" s="140">
        <f t="shared" si="78"/>
        <v>-8.218409403712384</v>
      </c>
      <c r="AL169" s="186">
        <f t="shared" si="79"/>
        <v>-0.7729348800586623</v>
      </c>
    </row>
    <row r="170" spans="1:38" ht="1.5" customHeight="1" thickTop="1">
      <c r="A170" s="416"/>
      <c r="B170" s="417"/>
      <c r="C170" s="442"/>
      <c r="D170" s="256"/>
      <c r="E170" s="443"/>
      <c r="F170" s="97"/>
      <c r="G170" s="13"/>
      <c r="I170" s="68"/>
      <c r="J170" s="68"/>
      <c r="K170" s="68"/>
      <c r="L170" s="68"/>
      <c r="M170" s="68"/>
      <c r="N170" s="62"/>
      <c r="O170" s="71"/>
      <c r="P170" s="444"/>
      <c r="Q170" s="445"/>
      <c r="R170" s="444"/>
      <c r="S170" s="446"/>
      <c r="T170" s="421">
        <f t="shared" si="71"/>
        <v>0</v>
      </c>
      <c r="V170" s="444"/>
      <c r="W170" s="448"/>
      <c r="X170" s="98"/>
      <c r="Y170" s="79"/>
      <c r="Z170" s="444"/>
      <c r="AA170" s="449"/>
      <c r="AB170" s="469"/>
      <c r="AC170" s="82"/>
      <c r="AD170" s="83"/>
      <c r="AE170" s="83"/>
      <c r="AF170" s="84"/>
      <c r="AG170" s="85"/>
      <c r="AH170" s="83"/>
      <c r="AI170" s="87" t="e">
        <f t="shared" si="76"/>
        <v>#DIV/0!</v>
      </c>
      <c r="AJ170" s="109" t="e">
        <f t="shared" si="77"/>
        <v>#DIV/0!</v>
      </c>
      <c r="AK170" s="83" t="e">
        <f t="shared" si="78"/>
        <v>#DIV/0!</v>
      </c>
      <c r="AL170" s="87" t="e">
        <f t="shared" si="79"/>
        <v>#DIV/0!</v>
      </c>
    </row>
    <row r="171" spans="1:38" ht="13.5">
      <c r="A171" s="470"/>
      <c r="B171" s="471"/>
      <c r="C171" s="577" t="s">
        <v>122</v>
      </c>
      <c r="D171" s="578"/>
      <c r="E171" s="578"/>
      <c r="F171" s="579"/>
      <c r="H171" s="6">
        <f>SUM(H147:H152)</f>
        <v>30</v>
      </c>
      <c r="I171" s="6">
        <f>SUM(I147:I152)</f>
        <v>22</v>
      </c>
      <c r="J171" s="6">
        <f>SUM(J147:J152)</f>
        <v>28</v>
      </c>
      <c r="N171" s="189">
        <f>SUM(N147:N152)</f>
        <v>30</v>
      </c>
      <c r="O171" s="472">
        <f>SUM(O147:O152)</f>
        <v>28</v>
      </c>
      <c r="P171" s="190">
        <f aca="true" t="shared" si="80" ref="P171:AB171">SUM(P147:P152)</f>
        <v>134225.35</v>
      </c>
      <c r="Q171" s="189">
        <f t="shared" si="80"/>
        <v>121396.58333333334</v>
      </c>
      <c r="R171" s="190">
        <f t="shared" si="80"/>
        <v>1965497.8</v>
      </c>
      <c r="S171" s="472">
        <f t="shared" si="80"/>
        <v>1557434.2</v>
      </c>
      <c r="T171" s="472">
        <f t="shared" si="80"/>
        <v>57177236.60000001</v>
      </c>
      <c r="U171" s="151">
        <f t="shared" si="80"/>
        <v>3.0500000000000003</v>
      </c>
      <c r="V171" s="473">
        <f t="shared" si="80"/>
        <v>4655106</v>
      </c>
      <c r="W171" s="474"/>
      <c r="X171" s="475">
        <f>Z171/V171</f>
        <v>4.1104559702829535</v>
      </c>
      <c r="Y171" s="476">
        <f>SUM(Y147:Y152)</f>
        <v>2401635.02</v>
      </c>
      <c r="Z171" s="473">
        <f t="shared" si="80"/>
        <v>19134608.25</v>
      </c>
      <c r="AA171" s="428">
        <v>6646844.66325</v>
      </c>
      <c r="AB171" s="477">
        <f t="shared" si="80"/>
        <v>4245209.643250002</v>
      </c>
      <c r="AC171" s="478">
        <f>AA171/Q171</f>
        <v>54.75314445217088</v>
      </c>
      <c r="AD171" s="479">
        <f>AA171/S171</f>
        <v>4.2678173262472345</v>
      </c>
      <c r="AE171" s="479">
        <f>AA171/V171</f>
        <v>1.4278610762569102</v>
      </c>
      <c r="AF171" s="480">
        <f>AA171/Z171</f>
        <v>0.3473729159440722</v>
      </c>
      <c r="AG171" s="481">
        <f>V171/Q171</f>
        <v>38.34626866901114</v>
      </c>
      <c r="AH171" s="482">
        <f>Z171/T171</f>
        <v>0.33465430279294045</v>
      </c>
      <c r="AI171" s="483">
        <f t="shared" si="76"/>
        <v>0.9119469338077375</v>
      </c>
      <c r="AJ171" s="484">
        <f t="shared" si="77"/>
        <v>0.22186028518509135</v>
      </c>
      <c r="AK171" s="479">
        <f t="shared" si="78"/>
        <v>34.96976213567242</v>
      </c>
      <c r="AL171" s="483">
        <f t="shared" si="79"/>
        <v>2.725771427935769</v>
      </c>
    </row>
    <row r="172" spans="1:38" s="214" customFormat="1" ht="14.25" customHeight="1" thickBot="1">
      <c r="A172" s="200"/>
      <c r="B172" s="485"/>
      <c r="C172" s="571" t="s">
        <v>123</v>
      </c>
      <c r="D172" s="580"/>
      <c r="E172" s="580"/>
      <c r="F172" s="581"/>
      <c r="G172" s="486"/>
      <c r="H172" s="487"/>
      <c r="I172" s="488"/>
      <c r="J172" s="488"/>
      <c r="K172" s="488"/>
      <c r="L172" s="488"/>
      <c r="M172" s="488"/>
      <c r="N172" s="489">
        <f aca="true" t="shared" si="81" ref="N172:Z172">N171/N180</f>
        <v>0.2127659574468085</v>
      </c>
      <c r="O172" s="490">
        <f t="shared" si="81"/>
        <v>0.20588235294117646</v>
      </c>
      <c r="P172" s="491">
        <f t="shared" si="81"/>
        <v>0.2530401420502416</v>
      </c>
      <c r="Q172" s="489">
        <f t="shared" si="81"/>
        <v>0.23529498225143003</v>
      </c>
      <c r="R172" s="204">
        <f t="shared" si="81"/>
        <v>0.2408408065238903</v>
      </c>
      <c r="S172" s="204">
        <f t="shared" si="81"/>
        <v>0.22274388843965584</v>
      </c>
      <c r="T172" s="204">
        <f t="shared" si="81"/>
        <v>0.2219886323219901</v>
      </c>
      <c r="U172" s="207" t="e">
        <f t="shared" si="81"/>
        <v>#DIV/0!</v>
      </c>
      <c r="V172" s="207">
        <f t="shared" si="81"/>
        <v>0.3085777176748801</v>
      </c>
      <c r="W172" s="492"/>
      <c r="X172" s="492">
        <f>X171/X180</f>
        <v>1.0132479908188348</v>
      </c>
      <c r="Y172" s="493">
        <f>Y171/Y180</f>
        <v>0.3346344573185683</v>
      </c>
      <c r="Z172" s="207">
        <f t="shared" si="81"/>
        <v>0.31266575244553396</v>
      </c>
      <c r="AA172" s="493">
        <f>AA171/AA180</f>
        <v>0.24516962920261903</v>
      </c>
      <c r="AB172" s="207">
        <f aca="true" t="shared" si="82" ref="AB172:AL172">AB171/AB180</f>
        <v>0.21295988068114474</v>
      </c>
      <c r="AC172" s="494">
        <f t="shared" si="82"/>
        <v>1.0419670953315834</v>
      </c>
      <c r="AD172" s="495">
        <f t="shared" si="82"/>
        <v>1.100679488537521</v>
      </c>
      <c r="AE172" s="495">
        <f t="shared" si="82"/>
        <v>0.7945150124576773</v>
      </c>
      <c r="AF172" s="496">
        <f t="shared" si="82"/>
        <v>0.7841269064008771</v>
      </c>
      <c r="AG172" s="497">
        <f t="shared" si="82"/>
        <v>1.3114504811035117</v>
      </c>
      <c r="AH172" s="495">
        <f>AH171/AH180</f>
        <v>1.4084764123958318</v>
      </c>
      <c r="AI172" s="212">
        <f>AI171/AI180</f>
        <v>0.6901336956076684</v>
      </c>
      <c r="AJ172" s="212">
        <f t="shared" si="82"/>
        <v>0.6811103519188342</v>
      </c>
      <c r="AK172" s="495">
        <f t="shared" si="82"/>
        <v>0.905076167130421</v>
      </c>
      <c r="AL172" s="212">
        <f t="shared" si="82"/>
        <v>0.956075078750537</v>
      </c>
    </row>
    <row r="173" spans="3:35" ht="12.75">
      <c r="C173" s="498"/>
      <c r="D173" s="499"/>
      <c r="E173" s="4"/>
      <c r="F173" s="4"/>
      <c r="G173" s="13"/>
      <c r="H173" s="153"/>
      <c r="I173" s="153"/>
      <c r="J173" s="153"/>
      <c r="M173" s="68"/>
      <c r="N173" s="151"/>
      <c r="O173" s="151"/>
      <c r="P173" s="151"/>
      <c r="Q173" s="151"/>
      <c r="R173" s="151"/>
      <c r="S173" s="151"/>
      <c r="T173" s="151"/>
      <c r="V173" s="151"/>
      <c r="W173" s="261"/>
      <c r="X173" s="167"/>
      <c r="Z173" s="151"/>
      <c r="AA173" s="469"/>
      <c r="AB173" s="469"/>
      <c r="AC173" s="83"/>
      <c r="AD173" s="83"/>
      <c r="AE173" s="83"/>
      <c r="AF173" s="311"/>
      <c r="AG173" s="10"/>
      <c r="AI173" s="500"/>
    </row>
    <row r="174" spans="3:38" ht="16.5" thickBot="1">
      <c r="C174" s="501" t="s">
        <v>81</v>
      </c>
      <c r="D174" s="400"/>
      <c r="E174" s="401"/>
      <c r="F174" s="402"/>
      <c r="G174" s="403"/>
      <c r="H174" s="502"/>
      <c r="I174" s="503"/>
      <c r="J174" s="503"/>
      <c r="K174" s="405"/>
      <c r="L174" s="405"/>
      <c r="M174" s="405"/>
      <c r="N174" s="190">
        <f>SUM(N147:N169)</f>
        <v>141</v>
      </c>
      <c r="O174" s="190">
        <f aca="true" t="shared" si="83" ref="O174:Z174">SUM(O147:O169)</f>
        <v>136</v>
      </c>
      <c r="P174" s="190">
        <f t="shared" si="83"/>
        <v>530450.8166666667</v>
      </c>
      <c r="Q174" s="190">
        <f t="shared" si="83"/>
        <v>515933.5833333333</v>
      </c>
      <c r="R174" s="190">
        <f t="shared" si="83"/>
        <v>8160983.3</v>
      </c>
      <c r="S174" s="190">
        <f t="shared" si="83"/>
        <v>6992040.1</v>
      </c>
      <c r="T174" s="190">
        <f t="shared" si="83"/>
        <v>257568308.8</v>
      </c>
      <c r="U174" s="190">
        <f t="shared" si="83"/>
        <v>8.840000000000003</v>
      </c>
      <c r="V174" s="190">
        <f t="shared" si="83"/>
        <v>15085684.2</v>
      </c>
      <c r="W174" s="192"/>
      <c r="X174" s="190">
        <f t="shared" si="83"/>
        <v>77.94999999999999</v>
      </c>
      <c r="Y174" s="190">
        <f t="shared" si="83"/>
        <v>7176890.985</v>
      </c>
      <c r="Z174" s="190">
        <f t="shared" si="83"/>
        <v>61198286.35</v>
      </c>
      <c r="AA174" s="504"/>
      <c r="AB174" s="504"/>
      <c r="AC174" s="505"/>
      <c r="AD174" s="505"/>
      <c r="AE174" s="505"/>
      <c r="AF174" s="506"/>
      <c r="AG174" s="507"/>
      <c r="AH174" s="413"/>
      <c r="AJ174" s="414"/>
      <c r="AK174" s="414"/>
      <c r="AL174" s="415"/>
    </row>
    <row r="175" spans="3:38" ht="12.75">
      <c r="C175" s="235" t="s">
        <v>46</v>
      </c>
      <c r="D175" s="236"/>
      <c r="E175" s="237"/>
      <c r="F175" s="238"/>
      <c r="G175" s="239" t="s">
        <v>46</v>
      </c>
      <c r="H175" s="240">
        <f aca="true" t="shared" si="84" ref="H175:M177">SUMIF($G147:$G169,$G175,H147:H169)</f>
        <v>30</v>
      </c>
      <c r="I175" s="240">
        <f t="shared" si="84"/>
        <v>22</v>
      </c>
      <c r="J175" s="240">
        <f t="shared" si="84"/>
        <v>28</v>
      </c>
      <c r="K175" s="240">
        <f t="shared" si="84"/>
        <v>0</v>
      </c>
      <c r="L175" s="240">
        <f t="shared" si="84"/>
        <v>0</v>
      </c>
      <c r="M175" s="240">
        <f t="shared" si="84"/>
        <v>0</v>
      </c>
      <c r="N175" s="241">
        <f aca="true" t="shared" si="85" ref="N175:V175">SUMIF($G147:$G169,$G175,N147:N169)</f>
        <v>30</v>
      </c>
      <c r="O175" s="241">
        <f t="shared" si="85"/>
        <v>28</v>
      </c>
      <c r="P175" s="241">
        <f t="shared" si="85"/>
        <v>134225.35</v>
      </c>
      <c r="Q175" s="241">
        <f t="shared" si="85"/>
        <v>121396.58333333334</v>
      </c>
      <c r="R175" s="241">
        <f t="shared" si="85"/>
        <v>1965497.8</v>
      </c>
      <c r="S175" s="241">
        <f t="shared" si="85"/>
        <v>1557434.2</v>
      </c>
      <c r="T175" s="241">
        <f t="shared" si="85"/>
        <v>57177236.60000001</v>
      </c>
      <c r="U175" s="241">
        <f t="shared" si="85"/>
        <v>3.0500000000000003</v>
      </c>
      <c r="V175" s="241">
        <f t="shared" si="85"/>
        <v>4655106</v>
      </c>
      <c r="W175" s="244"/>
      <c r="X175" s="508">
        <f aca="true" t="shared" si="86" ref="X175:X180">Z175/V175</f>
        <v>4.1104559702829535</v>
      </c>
      <c r="Y175" s="246">
        <f>SUMIF($G147:$G169,$G175,Y147:Y169)</f>
        <v>2401635.02</v>
      </c>
      <c r="Z175" s="241">
        <f>SUMIF($G147:$G169,$G175,Z147:Z169)</f>
        <v>19134608.25</v>
      </c>
      <c r="AA175" s="247">
        <v>6646844.66325</v>
      </c>
      <c r="AB175" s="247">
        <f>SUMIF($G147:$G169,$G175,AB147:AB169)</f>
        <v>4245209.643250002</v>
      </c>
      <c r="AC175" s="248">
        <f aca="true" t="shared" si="87" ref="AC175:AC180">AA175/Q175</f>
        <v>54.75314445217088</v>
      </c>
      <c r="AD175" s="249">
        <f aca="true" t="shared" si="88" ref="AD175:AD180">AA175/S175</f>
        <v>4.2678173262472345</v>
      </c>
      <c r="AE175" s="249">
        <f aca="true" t="shared" si="89" ref="AE175:AE180">AA175/V175</f>
        <v>1.4278610762569102</v>
      </c>
      <c r="AF175" s="509">
        <f aca="true" t="shared" si="90" ref="AF175:AF180">AA175/Z175</f>
        <v>0.3473729159440722</v>
      </c>
      <c r="AG175" s="251">
        <f aca="true" t="shared" si="91" ref="AG175:AG180">V175/Q175</f>
        <v>38.34626866901114</v>
      </c>
      <c r="AH175" s="252">
        <f aca="true" t="shared" si="92" ref="AH175:AH180">Z175/T175</f>
        <v>0.33465430279294045</v>
      </c>
      <c r="AI175" s="253">
        <f aca="true" t="shared" si="93" ref="AI175:AI180">AB175/V175</f>
        <v>0.9119469338077375</v>
      </c>
      <c r="AJ175" s="254">
        <f aca="true" t="shared" si="94" ref="AJ175:AJ180">AB175/Z175</f>
        <v>0.22186028518509135</v>
      </c>
      <c r="AK175" s="510">
        <f aca="true" t="shared" si="95" ref="AK175:AK180">AB175/Q175</f>
        <v>34.96976213567242</v>
      </c>
      <c r="AL175" s="511">
        <f aca="true" t="shared" si="96" ref="AL175:AL180">AB175/S175</f>
        <v>2.725771427935769</v>
      </c>
    </row>
    <row r="176" spans="3:38" ht="12.75">
      <c r="C176" s="255" t="s">
        <v>77</v>
      </c>
      <c r="D176" s="256"/>
      <c r="E176" s="257"/>
      <c r="F176" s="97"/>
      <c r="G176" s="13" t="s">
        <v>77</v>
      </c>
      <c r="H176" s="153">
        <f t="shared" si="84"/>
        <v>46</v>
      </c>
      <c r="I176" s="153">
        <f t="shared" si="84"/>
        <v>30</v>
      </c>
      <c r="J176" s="153">
        <f t="shared" si="84"/>
        <v>45</v>
      </c>
      <c r="L176" s="68"/>
      <c r="M176" s="68"/>
      <c r="N176" s="258">
        <f aca="true" t="shared" si="97" ref="N176:V176">SUMIF($G147:$G169,$G176,N147:N169)</f>
        <v>46</v>
      </c>
      <c r="O176" s="258">
        <f t="shared" si="97"/>
        <v>45</v>
      </c>
      <c r="P176" s="258">
        <f t="shared" si="97"/>
        <v>155526.44166666665</v>
      </c>
      <c r="Q176" s="258">
        <f t="shared" si="97"/>
        <v>164038.95</v>
      </c>
      <c r="R176" s="258">
        <f t="shared" si="97"/>
        <v>2711476.6</v>
      </c>
      <c r="S176" s="258">
        <f t="shared" si="97"/>
        <v>2518002</v>
      </c>
      <c r="T176" s="258">
        <f t="shared" si="97"/>
        <v>95684076</v>
      </c>
      <c r="U176" s="258">
        <f t="shared" si="97"/>
        <v>1.9300000000000002</v>
      </c>
      <c r="V176" s="258">
        <f t="shared" si="97"/>
        <v>5612824.2</v>
      </c>
      <c r="W176" s="261"/>
      <c r="X176" s="98">
        <f t="shared" si="86"/>
        <v>4.366278227634494</v>
      </c>
      <c r="Y176" s="263">
        <f>SUMIF($G147:$G169,$G176,Y147:Y169)</f>
        <v>2509865.4050000003</v>
      </c>
      <c r="Z176" s="258">
        <f>SUMIF($G147:$G169,$G176,Z147:Z169)</f>
        <v>24507152.099999998</v>
      </c>
      <c r="AA176" s="264">
        <v>8649632.02675</v>
      </c>
      <c r="AB176" s="512">
        <f>AA176-Y176</f>
        <v>6139766.62175</v>
      </c>
      <c r="AC176" s="82">
        <f t="shared" si="87"/>
        <v>52.729135530006744</v>
      </c>
      <c r="AD176" s="83">
        <f t="shared" si="88"/>
        <v>3.435117218632074</v>
      </c>
      <c r="AE176" s="83">
        <f t="shared" si="89"/>
        <v>1.5410480924647525</v>
      </c>
      <c r="AF176" s="84">
        <f t="shared" si="90"/>
        <v>0.3529431731380164</v>
      </c>
      <c r="AG176" s="119">
        <f t="shared" si="91"/>
        <v>34.21641140716884</v>
      </c>
      <c r="AH176" s="113">
        <f t="shared" si="92"/>
        <v>0.25612571207773377</v>
      </c>
      <c r="AI176" s="87">
        <f t="shared" si="93"/>
        <v>1.0938818681956937</v>
      </c>
      <c r="AJ176" s="109">
        <f t="shared" si="94"/>
        <v>0.25052958404538567</v>
      </c>
      <c r="AK176" s="83">
        <f t="shared" si="95"/>
        <v>37.4287120330263</v>
      </c>
      <c r="AL176" s="87">
        <f t="shared" si="96"/>
        <v>2.438348588186189</v>
      </c>
    </row>
    <row r="177" spans="3:38" ht="12.75">
      <c r="C177" s="268" t="s">
        <v>76</v>
      </c>
      <c r="D177" s="256"/>
      <c r="E177" s="257"/>
      <c r="F177" s="97"/>
      <c r="G177" s="6" t="s">
        <v>76</v>
      </c>
      <c r="H177" s="153">
        <f t="shared" si="84"/>
        <v>18</v>
      </c>
      <c r="I177" s="153">
        <f t="shared" si="84"/>
        <v>11</v>
      </c>
      <c r="J177" s="153">
        <f t="shared" si="84"/>
        <v>17</v>
      </c>
      <c r="L177" s="68"/>
      <c r="M177" s="68"/>
      <c r="N177" s="258">
        <f aca="true" t="shared" si="98" ref="N177:V177">SUMIF($G147:$G169,$G177,N147:N169)</f>
        <v>18</v>
      </c>
      <c r="O177" s="258">
        <f t="shared" si="98"/>
        <v>17</v>
      </c>
      <c r="P177" s="258">
        <f t="shared" si="98"/>
        <v>58069.16666666667</v>
      </c>
      <c r="Q177" s="258">
        <f t="shared" si="98"/>
        <v>52615.33333333333</v>
      </c>
      <c r="R177" s="258">
        <f t="shared" si="98"/>
        <v>928547</v>
      </c>
      <c r="S177" s="258">
        <f t="shared" si="98"/>
        <v>751064</v>
      </c>
      <c r="T177" s="258">
        <f t="shared" si="98"/>
        <v>28540432</v>
      </c>
      <c r="U177" s="258">
        <f t="shared" si="98"/>
        <v>1.12</v>
      </c>
      <c r="V177" s="258">
        <f t="shared" si="98"/>
        <v>722980</v>
      </c>
      <c r="W177" s="261"/>
      <c r="X177" s="98">
        <f t="shared" si="86"/>
        <v>4.5</v>
      </c>
      <c r="Y177" s="263">
        <f>SUMIF($G147:$G169,$G177,Y147:Y169)</f>
        <v>404868.80000000005</v>
      </c>
      <c r="Z177" s="258">
        <f>SUMIF($G147:$G169,$G177,Z147:Z169)</f>
        <v>3253410</v>
      </c>
      <c r="AA177" s="264">
        <v>3006703.223333333</v>
      </c>
      <c r="AB177" s="512">
        <f>AA177-Y177</f>
        <v>2601834.423333333</v>
      </c>
      <c r="AC177" s="82">
        <f t="shared" si="87"/>
        <v>57.145</v>
      </c>
      <c r="AD177" s="83">
        <f t="shared" si="88"/>
        <v>4.003258341943341</v>
      </c>
      <c r="AE177" s="111">
        <f t="shared" si="89"/>
        <v>4.158764036810608</v>
      </c>
      <c r="AF177" s="120">
        <f t="shared" si="90"/>
        <v>0.9241697859579128</v>
      </c>
      <c r="AG177" s="112">
        <f t="shared" si="91"/>
        <v>13.74086134586876</v>
      </c>
      <c r="AH177" s="125">
        <f t="shared" si="92"/>
        <v>0.11399301874617736</v>
      </c>
      <c r="AI177" s="114">
        <f t="shared" si="93"/>
        <v>3.5987640368106075</v>
      </c>
      <c r="AJ177" s="122">
        <f t="shared" si="94"/>
        <v>0.7997253415134683</v>
      </c>
      <c r="AK177" s="83">
        <f t="shared" si="95"/>
        <v>49.450117646313494</v>
      </c>
      <c r="AL177" s="87">
        <f t="shared" si="96"/>
        <v>3.4641980221836395</v>
      </c>
    </row>
    <row r="178" spans="3:38" ht="12.75">
      <c r="C178" s="268" t="s">
        <v>75</v>
      </c>
      <c r="D178" s="256"/>
      <c r="E178" s="257"/>
      <c r="F178" s="97"/>
      <c r="G178" s="6" t="s">
        <v>75</v>
      </c>
      <c r="H178" s="153">
        <f>SUMIF($G150:$G171,$G178,H150:H171)</f>
        <v>27</v>
      </c>
      <c r="I178" s="153">
        <f>SUMIF($G150:$G171,$G178,I150:I171)</f>
        <v>16</v>
      </c>
      <c r="J178" s="153">
        <f>SUMIF($G150:$G171,$G178,J150:J171)</f>
        <v>26</v>
      </c>
      <c r="L178" s="68"/>
      <c r="M178" s="68"/>
      <c r="N178" s="258">
        <f aca="true" t="shared" si="99" ref="N178:V178">SUMIF($G147:$G169,$G178,N147:N169)</f>
        <v>27</v>
      </c>
      <c r="O178" s="258">
        <f t="shared" si="99"/>
        <v>26</v>
      </c>
      <c r="P178" s="258">
        <f t="shared" si="99"/>
        <v>95982.62499999999</v>
      </c>
      <c r="Q178" s="258">
        <f t="shared" si="99"/>
        <v>97105.31666666667</v>
      </c>
      <c r="R178" s="258">
        <f t="shared" si="99"/>
        <v>1459498</v>
      </c>
      <c r="S178" s="258">
        <f t="shared" si="99"/>
        <v>1331429.8</v>
      </c>
      <c r="T178" s="258">
        <f t="shared" si="99"/>
        <v>50594332.4</v>
      </c>
      <c r="U178" s="258">
        <f t="shared" si="99"/>
        <v>1.37</v>
      </c>
      <c r="V178" s="258">
        <f t="shared" si="99"/>
        <v>2121238</v>
      </c>
      <c r="W178" s="261"/>
      <c r="X178" s="98">
        <f t="shared" si="86"/>
        <v>4.41689051393573</v>
      </c>
      <c r="Y178" s="263">
        <f>SUMIF($G147:$G169,$G178,Y147:Y169)</f>
        <v>1166281.6300000001</v>
      </c>
      <c r="Z178" s="258">
        <f>SUMIF($G147:$G169,$G178,Z147:Z169)</f>
        <v>9369276</v>
      </c>
      <c r="AA178" s="264">
        <v>5179861.346916666</v>
      </c>
      <c r="AB178" s="512">
        <f>AA178-Y178</f>
        <v>4013579.7169166664</v>
      </c>
      <c r="AC178" s="82">
        <f t="shared" si="87"/>
        <v>53.34271618409496</v>
      </c>
      <c r="AD178" s="83">
        <f t="shared" si="88"/>
        <v>3.89045021143185</v>
      </c>
      <c r="AE178" s="83">
        <f t="shared" si="89"/>
        <v>2.441904843735906</v>
      </c>
      <c r="AF178" s="84">
        <f t="shared" si="90"/>
        <v>0.5528560954887727</v>
      </c>
      <c r="AG178" s="112">
        <f t="shared" si="91"/>
        <v>21.844715333987033</v>
      </c>
      <c r="AH178" s="125">
        <f t="shared" si="92"/>
        <v>0.18518429941769526</v>
      </c>
      <c r="AI178" s="104">
        <f t="shared" si="93"/>
        <v>1.8920930687252757</v>
      </c>
      <c r="AJ178" s="118">
        <f t="shared" si="94"/>
        <v>0.42837671949429884</v>
      </c>
      <c r="AK178" s="83">
        <f t="shared" si="95"/>
        <v>41.33223447171361</v>
      </c>
      <c r="AL178" s="87">
        <f t="shared" si="96"/>
        <v>3.014488422083287</v>
      </c>
    </row>
    <row r="179" spans="3:38" ht="13.5" thickBot="1">
      <c r="C179" s="276" t="s">
        <v>78</v>
      </c>
      <c r="D179" s="277"/>
      <c r="E179" s="278"/>
      <c r="F179" s="279"/>
      <c r="G179" s="13" t="s">
        <v>78</v>
      </c>
      <c r="H179" s="280">
        <f>SUMIF($G151:$G174,$G179,H151:H174)</f>
        <v>20</v>
      </c>
      <c r="I179" s="280">
        <f>SUMIF($G151:$G174,$G179,I151:I174)</f>
        <v>15</v>
      </c>
      <c r="J179" s="280">
        <f>SUMIF($G151:$G174,$G179,J151:J174)</f>
        <v>20</v>
      </c>
      <c r="L179" s="68"/>
      <c r="M179" s="68"/>
      <c r="N179" s="281">
        <f aca="true" t="shared" si="100" ref="N179:V179">SUMIF($G147:$G169,$G179,N147:N169)</f>
        <v>20</v>
      </c>
      <c r="O179" s="281">
        <f t="shared" si="100"/>
        <v>20</v>
      </c>
      <c r="P179" s="281">
        <f t="shared" si="100"/>
        <v>86647.23333333334</v>
      </c>
      <c r="Q179" s="281">
        <f t="shared" si="100"/>
        <v>80777.4</v>
      </c>
      <c r="R179" s="281">
        <f t="shared" si="100"/>
        <v>1095963.9</v>
      </c>
      <c r="S179" s="281">
        <f t="shared" si="100"/>
        <v>834110.1</v>
      </c>
      <c r="T179" s="281">
        <f t="shared" si="100"/>
        <v>25572231.799999997</v>
      </c>
      <c r="U179" s="281">
        <f t="shared" si="100"/>
        <v>1.37</v>
      </c>
      <c r="V179" s="281">
        <f t="shared" si="100"/>
        <v>1973536</v>
      </c>
      <c r="W179" s="284"/>
      <c r="X179" s="135">
        <f t="shared" si="86"/>
        <v>2.5</v>
      </c>
      <c r="Y179" s="286">
        <f>SUMIF($G147:$G169,$G179,Y147:Y169)</f>
        <v>694240.13</v>
      </c>
      <c r="Z179" s="281">
        <f>SUMIF($G147:$G169,$G179,Z147:Z169)</f>
        <v>4933840</v>
      </c>
      <c r="AA179" s="264">
        <v>3628166.1306000003</v>
      </c>
      <c r="AB179" s="513">
        <f>AA179-Y179</f>
        <v>2933926.0006000004</v>
      </c>
      <c r="AC179" s="139">
        <f t="shared" si="87"/>
        <v>44.915609200098054</v>
      </c>
      <c r="AD179" s="140">
        <f t="shared" si="88"/>
        <v>4.349744872529418</v>
      </c>
      <c r="AE179" s="140">
        <f t="shared" si="89"/>
        <v>1.8384088917557118</v>
      </c>
      <c r="AF179" s="514">
        <f t="shared" si="90"/>
        <v>0.7353635567022847</v>
      </c>
      <c r="AG179" s="143">
        <f t="shared" si="91"/>
        <v>24.43178413764246</v>
      </c>
      <c r="AH179" s="144">
        <f t="shared" si="92"/>
        <v>0.19293740329696216</v>
      </c>
      <c r="AI179" s="186">
        <f t="shared" si="93"/>
        <v>1.4866341432839332</v>
      </c>
      <c r="AJ179" s="515">
        <f t="shared" si="94"/>
        <v>0.5946536573135732</v>
      </c>
      <c r="AK179" s="140">
        <f t="shared" si="95"/>
        <v>36.32112448036209</v>
      </c>
      <c r="AL179" s="186">
        <f t="shared" si="96"/>
        <v>3.5174325315087307</v>
      </c>
    </row>
    <row r="180" spans="3:38" ht="16.5" thickBot="1" thickTop="1">
      <c r="C180" s="568" t="s">
        <v>124</v>
      </c>
      <c r="D180" s="569"/>
      <c r="E180" s="569"/>
      <c r="F180" s="570"/>
      <c r="G180" s="13"/>
      <c r="H180" s="153">
        <f>SUM(H175:H179)</f>
        <v>141</v>
      </c>
      <c r="I180" s="153">
        <f>SUM(I175:I179)</f>
        <v>94</v>
      </c>
      <c r="J180" s="153">
        <f aca="true" t="shared" si="101" ref="J180:T180">SUM(J175:J179)</f>
        <v>136</v>
      </c>
      <c r="K180" s="153">
        <f t="shared" si="101"/>
        <v>0</v>
      </c>
      <c r="L180" s="153">
        <f t="shared" si="101"/>
        <v>0</v>
      </c>
      <c r="M180" s="153">
        <f t="shared" si="101"/>
        <v>0</v>
      </c>
      <c r="N180" s="149">
        <f>N175+N176+N177+N178+N179</f>
        <v>141</v>
      </c>
      <c r="O180" s="150">
        <f t="shared" si="101"/>
        <v>136</v>
      </c>
      <c r="P180" s="152">
        <f t="shared" si="101"/>
        <v>530450.8166666667</v>
      </c>
      <c r="Q180" s="149">
        <f t="shared" si="101"/>
        <v>515933.58333333326</v>
      </c>
      <c r="R180" s="152">
        <f t="shared" si="101"/>
        <v>8160983.300000001</v>
      </c>
      <c r="S180" s="150">
        <f t="shared" si="101"/>
        <v>6992040.1</v>
      </c>
      <c r="T180" s="150">
        <f t="shared" si="101"/>
        <v>257568308.8</v>
      </c>
      <c r="U180" s="29"/>
      <c r="V180" s="152">
        <f>SUM(V175:V179)</f>
        <v>15085684.2</v>
      </c>
      <c r="W180" s="154"/>
      <c r="X180" s="155">
        <f t="shared" si="86"/>
        <v>4.056712677970549</v>
      </c>
      <c r="Y180" s="156">
        <f>SUM(Y175:Y179)</f>
        <v>7176890.985</v>
      </c>
      <c r="Z180" s="150">
        <f>SUM(Z175:Z179)</f>
        <v>61198286.349999994</v>
      </c>
      <c r="AA180" s="516">
        <f>SUM(AA175:AA179)</f>
        <v>27111207.390850004</v>
      </c>
      <c r="AB180" s="517">
        <f>SUM(AB175:AB179)</f>
        <v>19934316.405849997</v>
      </c>
      <c r="AC180" s="518">
        <f t="shared" si="87"/>
        <v>52.54786326505529</v>
      </c>
      <c r="AD180" s="519">
        <f t="shared" si="88"/>
        <v>3.8774387736778007</v>
      </c>
      <c r="AE180" s="519">
        <f t="shared" si="89"/>
        <v>1.7971480134026672</v>
      </c>
      <c r="AF180" s="520">
        <f t="shared" si="90"/>
        <v>0.4430059893474453</v>
      </c>
      <c r="AG180" s="521">
        <f t="shared" si="91"/>
        <v>29.239585650801633</v>
      </c>
      <c r="AH180" s="522">
        <f t="shared" si="92"/>
        <v>0.2376002181134793</v>
      </c>
      <c r="AI180" s="308">
        <f t="shared" si="93"/>
        <v>1.3214061849345884</v>
      </c>
      <c r="AJ180" s="523">
        <f t="shared" si="94"/>
        <v>0.3257332450755788</v>
      </c>
      <c r="AK180" s="307">
        <f t="shared" si="95"/>
        <v>38.63736932389392</v>
      </c>
      <c r="AL180" s="308">
        <f t="shared" si="96"/>
        <v>2.8510014417465936</v>
      </c>
    </row>
    <row r="181" spans="3:38" ht="12" customHeight="1" thickBot="1">
      <c r="C181" s="309"/>
      <c r="D181" s="524"/>
      <c r="E181" s="524"/>
      <c r="F181" s="524"/>
      <c r="G181" s="13"/>
      <c r="H181" s="153"/>
      <c r="I181" s="153"/>
      <c r="J181" s="153"/>
      <c r="K181" s="153"/>
      <c r="L181" s="153"/>
      <c r="M181" s="153"/>
      <c r="N181" s="151"/>
      <c r="O181" s="151"/>
      <c r="P181" s="151"/>
      <c r="Q181" s="151"/>
      <c r="R181" s="151"/>
      <c r="S181" s="151"/>
      <c r="T181" s="151"/>
      <c r="U181" s="91"/>
      <c r="V181" s="151"/>
      <c r="W181" s="261"/>
      <c r="X181" s="167"/>
      <c r="Y181" s="264"/>
      <c r="Z181" s="151"/>
      <c r="AA181" s="343"/>
      <c r="AB181" s="343"/>
      <c r="AC181" s="83"/>
      <c r="AD181" s="83"/>
      <c r="AE181" s="83"/>
      <c r="AF181" s="311"/>
      <c r="AG181" s="312"/>
      <c r="AH181" s="83"/>
      <c r="AI181" s="83"/>
      <c r="AJ181" s="311"/>
      <c r="AK181" s="83"/>
      <c r="AL181" s="83"/>
    </row>
    <row r="182" spans="3:38" ht="13.5" thickBot="1">
      <c r="C182" s="347" t="s">
        <v>125</v>
      </c>
      <c r="D182" s="349"/>
      <c r="E182" s="350"/>
      <c r="F182" s="351"/>
      <c r="G182" s="352"/>
      <c r="H182" s="353"/>
      <c r="I182" s="354"/>
      <c r="J182" s="354"/>
      <c r="K182" s="355"/>
      <c r="L182" s="355"/>
      <c r="M182" s="355"/>
      <c r="N182" s="525"/>
      <c r="O182" s="525"/>
      <c r="P182" s="525"/>
      <c r="Q182" s="525">
        <v>469000</v>
      </c>
      <c r="R182" s="525"/>
      <c r="S182" s="525">
        <v>5705000</v>
      </c>
      <c r="T182" s="525">
        <f>S182*38</f>
        <v>216790000</v>
      </c>
      <c r="U182" s="348"/>
      <c r="V182" s="525">
        <v>8264000</v>
      </c>
      <c r="W182" s="526"/>
      <c r="X182" s="362">
        <f>Z182/V182</f>
        <v>3.9306631171345594</v>
      </c>
      <c r="Y182" s="363">
        <v>6693840</v>
      </c>
      <c r="Z182" s="525">
        <v>32483000</v>
      </c>
      <c r="AA182" s="363">
        <f>AC182*Q182</f>
        <v>26887770</v>
      </c>
      <c r="AB182" s="363">
        <f>AI182*V182</f>
        <v>19255120</v>
      </c>
      <c r="AC182" s="527">
        <v>57.33</v>
      </c>
      <c r="AD182" s="365">
        <f>AA182/S182</f>
        <v>4.7130184049079755</v>
      </c>
      <c r="AE182" s="528">
        <v>3.25</v>
      </c>
      <c r="AF182" s="528">
        <v>0.83</v>
      </c>
      <c r="AG182" s="529">
        <f>V182/Q182</f>
        <v>17.62046908315565</v>
      </c>
      <c r="AH182" s="368">
        <f>Z182/T182</f>
        <v>0.1498362470593662</v>
      </c>
      <c r="AI182" s="530">
        <v>2.33</v>
      </c>
      <c r="AJ182" s="530">
        <v>0.59</v>
      </c>
      <c r="AK182" s="528">
        <f>AB182/Q182</f>
        <v>41.05569296375266</v>
      </c>
      <c r="AL182" s="530">
        <f>AB182/S182</f>
        <v>3.375130587204207</v>
      </c>
    </row>
    <row r="183" spans="1:33" ht="12.75" hidden="1">
      <c r="A183" s="233" t="s">
        <v>126</v>
      </c>
      <c r="C183" s="498"/>
      <c r="D183" s="499"/>
      <c r="E183" s="531"/>
      <c r="F183" s="4"/>
      <c r="G183" s="13"/>
      <c r="H183" s="453"/>
      <c r="I183" s="68"/>
      <c r="J183" s="68"/>
      <c r="L183" s="68"/>
      <c r="M183" s="68"/>
      <c r="N183" s="70"/>
      <c r="O183" s="70"/>
      <c r="P183" s="455"/>
      <c r="Q183" s="444"/>
      <c r="R183" s="10"/>
      <c r="S183" s="10"/>
      <c r="T183" s="10"/>
      <c r="AA183" s="469"/>
      <c r="AB183" s="469"/>
      <c r="AG183" s="10"/>
    </row>
    <row r="184" spans="1:33" ht="12.75" hidden="1">
      <c r="A184" s="233">
        <v>1</v>
      </c>
      <c r="C184" s="498"/>
      <c r="D184" s="499"/>
      <c r="E184" s="531"/>
      <c r="F184" s="4"/>
      <c r="G184" s="13"/>
      <c r="H184" s="453"/>
      <c r="I184" s="68"/>
      <c r="J184" s="68"/>
      <c r="L184" s="68"/>
      <c r="M184" s="68"/>
      <c r="N184" s="151">
        <v>1518</v>
      </c>
      <c r="O184" s="151">
        <v>1507</v>
      </c>
      <c r="P184" s="151">
        <v>5864822.999999999</v>
      </c>
      <c r="Q184" s="151">
        <v>5408009.200000004</v>
      </c>
      <c r="R184" s="151">
        <v>74302783.19999999</v>
      </c>
      <c r="S184" s="151">
        <v>63185205.200000025</v>
      </c>
      <c r="T184" s="151"/>
      <c r="V184" s="151">
        <v>312688885.69327015</v>
      </c>
      <c r="W184" s="261"/>
      <c r="X184" s="98">
        <v>3.7336356688197183</v>
      </c>
      <c r="Y184" s="151">
        <f>SUMIF($G156:$G180,$G184,Y156:Y180)</f>
        <v>0</v>
      </c>
      <c r="Z184" s="151">
        <v>1167466376.867885</v>
      </c>
      <c r="AA184" s="343">
        <v>533340898.1558232</v>
      </c>
      <c r="AB184" s="343"/>
      <c r="AC184" s="532">
        <f>AA184/Q184</f>
        <v>98.6205604376233</v>
      </c>
      <c r="AD184" s="83"/>
      <c r="AE184" s="83">
        <f>AA184/V184</f>
        <v>1.7056599148810168</v>
      </c>
      <c r="AF184" s="311">
        <f>AA184/Z184</f>
        <v>0.4568361956484662</v>
      </c>
      <c r="AG184" s="533">
        <f>V184/Q184</f>
        <v>57.81959204013002</v>
      </c>
    </row>
    <row r="185" spans="1:33" ht="12.75" hidden="1">
      <c r="A185" s="233">
        <v>2</v>
      </c>
      <c r="C185" s="498"/>
      <c r="D185" s="499"/>
      <c r="E185" s="531"/>
      <c r="F185" s="4"/>
      <c r="G185" s="13"/>
      <c r="H185" s="453"/>
      <c r="I185" s="68"/>
      <c r="J185" s="68"/>
      <c r="L185" s="68"/>
      <c r="M185" s="68"/>
      <c r="N185" s="151">
        <v>403</v>
      </c>
      <c r="O185" s="151">
        <v>389</v>
      </c>
      <c r="P185" s="151">
        <v>1542673.55</v>
      </c>
      <c r="Q185" s="151">
        <v>1412250.433333333</v>
      </c>
      <c r="R185" s="151">
        <v>24823540.049999997</v>
      </c>
      <c r="S185" s="151">
        <v>21150146.599999998</v>
      </c>
      <c r="T185" s="151"/>
      <c r="V185" s="151">
        <v>44654481.98946537</v>
      </c>
      <c r="W185" s="261"/>
      <c r="X185" s="98">
        <v>5.74664457730186</v>
      </c>
      <c r="Y185" s="151">
        <f>SUMIF($G157:$G180,$G185,Y157:Y180)</f>
        <v>0</v>
      </c>
      <c r="Z185" s="151">
        <v>256613436.77698478</v>
      </c>
      <c r="AA185" s="343">
        <v>137439214.49979565</v>
      </c>
      <c r="AB185" s="343"/>
      <c r="AC185" s="532">
        <f>AA185/Q185</f>
        <v>97.31929355857801</v>
      </c>
      <c r="AD185" s="83"/>
      <c r="AE185" s="83">
        <f>AA185/V185</f>
        <v>3.077836946629893</v>
      </c>
      <c r="AF185" s="311">
        <f>AA185/Z185</f>
        <v>0.5355885343573806</v>
      </c>
      <c r="AG185" s="533">
        <f>V185/Q185</f>
        <v>31.619379208875472</v>
      </c>
    </row>
    <row r="186" spans="1:33" ht="13.5" hidden="1" thickBot="1">
      <c r="A186" s="233">
        <v>3</v>
      </c>
      <c r="C186" s="498"/>
      <c r="D186" s="499"/>
      <c r="E186" s="531"/>
      <c r="F186" s="4"/>
      <c r="G186" s="13"/>
      <c r="H186" s="453"/>
      <c r="I186" s="68"/>
      <c r="J186" s="68"/>
      <c r="L186" s="68"/>
      <c r="M186" s="68"/>
      <c r="N186" s="283">
        <v>160</v>
      </c>
      <c r="O186" s="283">
        <v>153</v>
      </c>
      <c r="P186" s="283">
        <v>592691.9666666667</v>
      </c>
      <c r="Q186" s="283">
        <v>577894.05</v>
      </c>
      <c r="R186" s="283">
        <v>8383770.549999998</v>
      </c>
      <c r="S186" s="283">
        <v>7003245.100000001</v>
      </c>
      <c r="T186" s="151"/>
      <c r="V186" s="283">
        <v>14965538.569129474</v>
      </c>
      <c r="W186" s="284"/>
      <c r="X186" s="135">
        <v>4.110798263714507</v>
      </c>
      <c r="Y186" s="151">
        <f>SUMIF($G158:$G182,$G186,Y158:Y182)</f>
        <v>0</v>
      </c>
      <c r="Z186" s="283">
        <v>61520309.96552993</v>
      </c>
      <c r="AA186" s="534">
        <v>45947087.31710699</v>
      </c>
      <c r="AB186" s="534"/>
      <c r="AC186" s="535">
        <f>AA186/Q186</f>
        <v>79.50780479069994</v>
      </c>
      <c r="AD186" s="140"/>
      <c r="AE186" s="140">
        <f>AA186/V186</f>
        <v>3.070192703380916</v>
      </c>
      <c r="AF186" s="536">
        <f>AA186/Z186</f>
        <v>0.7468604651512861</v>
      </c>
      <c r="AG186" s="537">
        <f>V186/Q186</f>
        <v>25.89668221904945</v>
      </c>
    </row>
    <row r="187" spans="3:33" ht="12.75" hidden="1">
      <c r="C187" s="498"/>
      <c r="D187" s="499"/>
      <c r="E187" s="531"/>
      <c r="F187" s="4"/>
      <c r="G187" s="13"/>
      <c r="H187" s="453"/>
      <c r="I187" s="68"/>
      <c r="J187" s="68"/>
      <c r="L187" s="68"/>
      <c r="M187" s="68"/>
      <c r="N187" s="151">
        <v>2081</v>
      </c>
      <c r="O187" s="151">
        <v>2049</v>
      </c>
      <c r="P187" s="151">
        <v>8000188.516666666</v>
      </c>
      <c r="Q187" s="151">
        <v>7398153.683333336</v>
      </c>
      <c r="R187" s="151">
        <v>107510093.79999998</v>
      </c>
      <c r="S187" s="151">
        <v>91338596.90000002</v>
      </c>
      <c r="T187" s="151"/>
      <c r="V187" s="151">
        <v>372308906.25186497</v>
      </c>
      <c r="W187" s="261"/>
      <c r="X187" s="98">
        <v>3.9902352553591593</v>
      </c>
      <c r="Y187" s="151">
        <f>SUMIF($G159:$G183,$G187,Y159:Y183)</f>
        <v>0</v>
      </c>
      <c r="Z187" s="151">
        <v>1485600123.6103997</v>
      </c>
      <c r="AA187" s="343">
        <v>716727199.9727257</v>
      </c>
      <c r="AB187" s="343"/>
      <c r="AC187" s="532">
        <v>47.338668669400775</v>
      </c>
      <c r="AD187" s="83"/>
      <c r="AE187" s="83">
        <v>1.6599668801151104</v>
      </c>
      <c r="AF187" s="311">
        <v>0.401301113782597</v>
      </c>
      <c r="AG187" s="312">
        <f>V187/Q187</f>
        <v>50.32457045203152</v>
      </c>
    </row>
    <row r="188" spans="1:33" ht="12.75" hidden="1">
      <c r="A188" s="233" t="s">
        <v>126</v>
      </c>
      <c r="C188" s="498"/>
      <c r="D188" s="499"/>
      <c r="E188" s="531"/>
      <c r="F188" s="4"/>
      <c r="G188" s="13"/>
      <c r="H188" s="453"/>
      <c r="I188" s="68"/>
      <c r="J188" s="68"/>
      <c r="L188" s="68"/>
      <c r="M188" s="68"/>
      <c r="N188" s="70"/>
      <c r="O188" s="70"/>
      <c r="P188" s="151"/>
      <c r="Q188" s="151"/>
      <c r="R188" s="151"/>
      <c r="S188" s="151"/>
      <c r="T188" s="151"/>
      <c r="V188" s="151"/>
      <c r="W188" s="261"/>
      <c r="X188" s="167"/>
      <c r="Z188" s="151"/>
      <c r="AA188" s="343"/>
      <c r="AB188" s="343"/>
      <c r="AC188" s="83"/>
      <c r="AD188" s="83"/>
      <c r="AE188" s="83"/>
      <c r="AF188" s="311"/>
      <c r="AG188" s="10"/>
    </row>
    <row r="189" spans="1:32" ht="12.75" hidden="1">
      <c r="A189" s="233">
        <v>1</v>
      </c>
      <c r="C189" s="498"/>
      <c r="D189" s="499"/>
      <c r="E189" s="531"/>
      <c r="F189" s="4"/>
      <c r="G189" s="13"/>
      <c r="H189" s="453"/>
      <c r="I189" s="68"/>
      <c r="J189" s="68"/>
      <c r="L189" s="68"/>
      <c r="M189" s="68"/>
      <c r="N189" s="394">
        <v>0.7294569918308506</v>
      </c>
      <c r="O189" s="394">
        <v>0.7354807223035628</v>
      </c>
      <c r="P189" s="394">
        <v>0.7330856001432849</v>
      </c>
      <c r="Q189" s="394">
        <v>0.730994438812922</v>
      </c>
      <c r="R189" s="394">
        <v>0.6911237872996815</v>
      </c>
      <c r="S189" s="394">
        <v>0.6917689492118748</v>
      </c>
      <c r="T189" s="394"/>
      <c r="V189" s="394">
        <v>0.8398641032823905</v>
      </c>
      <c r="W189" s="395"/>
      <c r="X189" s="538"/>
      <c r="Y189" s="394"/>
      <c r="Z189" s="394">
        <v>0.7858550617447676</v>
      </c>
      <c r="AA189" s="394">
        <v>0.744133748762596</v>
      </c>
      <c r="AB189" s="394"/>
      <c r="AC189" s="83"/>
      <c r="AD189" s="83"/>
      <c r="AE189" s="83"/>
      <c r="AF189" s="311"/>
    </row>
    <row r="190" spans="1:32" ht="12.75" hidden="1">
      <c r="A190" s="233">
        <v>2</v>
      </c>
      <c r="C190" s="498"/>
      <c r="D190" s="499"/>
      <c r="E190" s="531"/>
      <c r="F190" s="4"/>
      <c r="G190" s="13"/>
      <c r="H190" s="453"/>
      <c r="I190" s="68"/>
      <c r="J190" s="68"/>
      <c r="L190" s="68"/>
      <c r="M190" s="68"/>
      <c r="N190" s="394">
        <v>0.19365689572321</v>
      </c>
      <c r="O190" s="394">
        <v>0.1898487066861884</v>
      </c>
      <c r="P190" s="394">
        <v>0.1928296497996482</v>
      </c>
      <c r="Q190" s="394">
        <v>0.19089228120725182</v>
      </c>
      <c r="R190" s="394">
        <v>0.23089497155661493</v>
      </c>
      <c r="S190" s="394">
        <v>0.23155760344288792</v>
      </c>
      <c r="T190" s="394"/>
      <c r="V190" s="394">
        <v>0.11993933327841708</v>
      </c>
      <c r="W190" s="395"/>
      <c r="X190" s="538"/>
      <c r="Y190" s="394"/>
      <c r="Z190" s="394">
        <v>0.17273385529434834</v>
      </c>
      <c r="AA190" s="394">
        <v>0.19175945116220752</v>
      </c>
      <c r="AB190" s="394"/>
      <c r="AC190" s="83"/>
      <c r="AD190" s="83"/>
      <c r="AE190" s="83"/>
      <c r="AF190" s="311"/>
    </row>
    <row r="191" spans="1:28" ht="12.75" hidden="1">
      <c r="A191" s="233">
        <v>3</v>
      </c>
      <c r="C191" s="498"/>
      <c r="D191" s="4"/>
      <c r="E191" s="4"/>
      <c r="F191" s="4"/>
      <c r="G191" s="13"/>
      <c r="N191" s="394">
        <v>0.07688611244593946</v>
      </c>
      <c r="O191" s="394">
        <v>0.0746705710102489</v>
      </c>
      <c r="P191" s="394">
        <v>0.0740847500570669</v>
      </c>
      <c r="Q191" s="394">
        <v>0.0781132799798263</v>
      </c>
      <c r="R191" s="394">
        <v>0.07798124114370365</v>
      </c>
      <c r="S191" s="394">
        <v>0.07667344734523723</v>
      </c>
      <c r="T191" s="394"/>
      <c r="V191" s="394">
        <v>0.04019656343919253</v>
      </c>
      <c r="W191" s="395"/>
      <c r="X191" s="539"/>
      <c r="Y191" s="394"/>
      <c r="Z191" s="394">
        <v>0.041411082960884096</v>
      </c>
      <c r="AA191" s="394">
        <v>0.06410680007519662</v>
      </c>
      <c r="AB191" s="394"/>
    </row>
    <row r="192" ht="12.75" hidden="1"/>
    <row r="193" ht="12.75">
      <c r="E193" s="531"/>
    </row>
    <row r="194" ht="23.25">
      <c r="C194" s="542" t="s">
        <v>127</v>
      </c>
    </row>
    <row r="196" spans="3:30" ht="16.5" thickBot="1">
      <c r="C196" s="501" t="s">
        <v>81</v>
      </c>
      <c r="D196" s="400"/>
      <c r="E196" s="401"/>
      <c r="F196" s="543"/>
      <c r="AD196" s="10"/>
    </row>
    <row r="197" spans="3:38" ht="12.75">
      <c r="C197" s="544" t="s">
        <v>46</v>
      </c>
      <c r="D197" s="545"/>
      <c r="E197" s="546"/>
      <c r="F197" s="547"/>
      <c r="G197" s="548"/>
      <c r="H197" s="548"/>
      <c r="I197" s="548"/>
      <c r="J197" s="548"/>
      <c r="K197" s="548"/>
      <c r="L197" s="548"/>
      <c r="M197" s="548"/>
      <c r="N197" s="549">
        <f aca="true" t="shared" si="102" ref="N197:V197">N175+N121</f>
        <v>376</v>
      </c>
      <c r="O197" s="549">
        <f t="shared" si="102"/>
        <v>368</v>
      </c>
      <c r="P197" s="549">
        <f t="shared" si="102"/>
        <v>1500070.1500000006</v>
      </c>
      <c r="Q197" s="550">
        <f t="shared" si="102"/>
        <v>1391945.683333333</v>
      </c>
      <c r="R197" s="549">
        <f t="shared" si="102"/>
        <v>20299994.000000004</v>
      </c>
      <c r="S197" s="551">
        <f t="shared" si="102"/>
        <v>17522771.2</v>
      </c>
      <c r="T197" s="551">
        <f t="shared" si="102"/>
        <v>716956741.45</v>
      </c>
      <c r="U197" s="549">
        <f t="shared" si="102"/>
        <v>3.0500000000000003</v>
      </c>
      <c r="V197" s="549">
        <f t="shared" si="102"/>
        <v>64820750.67915881</v>
      </c>
      <c r="W197" s="552"/>
      <c r="X197" s="553">
        <f aca="true" t="shared" si="103" ref="X197:X202">Z197/V197</f>
        <v>4.398740148028907</v>
      </c>
      <c r="Y197" s="554">
        <f aca="true" t="shared" si="104" ref="Y197:AB201">Y175+Y121</f>
        <v>37149251.14509311</v>
      </c>
      <c r="Z197" s="551">
        <f t="shared" si="104"/>
        <v>285129638.43778783</v>
      </c>
      <c r="AA197" s="554">
        <f t="shared" si="104"/>
        <v>141371189.36098334</v>
      </c>
      <c r="AB197" s="555">
        <f t="shared" si="104"/>
        <v>104221938.21589018</v>
      </c>
      <c r="AC197" s="248">
        <f aca="true" t="shared" si="105" ref="AC197:AC202">AA197/Q197</f>
        <v>101.56372554885735</v>
      </c>
      <c r="AD197" s="249">
        <f aca="true" t="shared" si="106" ref="AD197:AD202">AA197/S197</f>
        <v>8.06785569174032</v>
      </c>
      <c r="AE197" s="249">
        <f aca="true" t="shared" si="107" ref="AE197:AE202">AA197/V197</f>
        <v>2.180955756910681</v>
      </c>
      <c r="AF197" s="509">
        <f aca="true" t="shared" si="108" ref="AF197:AF202">AA197/Z197</f>
        <v>0.495813729276092</v>
      </c>
      <c r="AG197" s="251">
        <f aca="true" t="shared" si="109" ref="AG197:AG202">V197/Q197</f>
        <v>46.56844836353862</v>
      </c>
      <c r="AH197" s="252">
        <f aca="true" t="shared" si="110" ref="AH197:AH202">Z197/T197</f>
        <v>0.39769434047182683</v>
      </c>
      <c r="AI197" s="253">
        <f aca="true" t="shared" si="111" ref="AI197:AI202">AB197/V197</f>
        <v>1.6078483683682432</v>
      </c>
      <c r="AJ197" s="254">
        <f aca="true" t="shared" si="112" ref="AJ197:AJ202">AB197/Z197</f>
        <v>0.3655247444177231</v>
      </c>
      <c r="AK197" s="249">
        <f aca="true" t="shared" si="113" ref="AK197:AK202">AB197/Q197</f>
        <v>74.87500371875636</v>
      </c>
      <c r="AL197" s="253">
        <f aca="true" t="shared" si="114" ref="AL197:AL202">AB197/S197</f>
        <v>5.947799981311757</v>
      </c>
    </row>
    <row r="198" spans="3:38" ht="12.75">
      <c r="C198" s="255" t="s">
        <v>77</v>
      </c>
      <c r="D198" s="256"/>
      <c r="E198" s="257"/>
      <c r="F198" s="97"/>
      <c r="G198" s="68"/>
      <c r="H198" s="68"/>
      <c r="I198" s="68"/>
      <c r="J198" s="68"/>
      <c r="K198" s="68"/>
      <c r="L198" s="68"/>
      <c r="M198" s="68"/>
      <c r="N198" s="151">
        <f aca="true" t="shared" si="115" ref="N198:V198">N176+N122</f>
        <v>459</v>
      </c>
      <c r="O198" s="151">
        <f t="shared" si="115"/>
        <v>476</v>
      </c>
      <c r="P198" s="151">
        <f t="shared" si="115"/>
        <v>1869951.2416666667</v>
      </c>
      <c r="Q198" s="258">
        <f t="shared" si="115"/>
        <v>1737309.8499999996</v>
      </c>
      <c r="R198" s="151">
        <f t="shared" si="115"/>
        <v>25958121.5</v>
      </c>
      <c r="S198" s="259">
        <f t="shared" si="115"/>
        <v>22288528.2</v>
      </c>
      <c r="T198" s="259">
        <f t="shared" si="115"/>
        <v>916160913.3</v>
      </c>
      <c r="U198" s="151">
        <f t="shared" si="115"/>
        <v>1.9300000000000002</v>
      </c>
      <c r="V198" s="151">
        <f t="shared" si="115"/>
        <v>102744740.04768868</v>
      </c>
      <c r="W198" s="261"/>
      <c r="X198" s="98">
        <f t="shared" si="103"/>
        <v>3.652248919920064</v>
      </c>
      <c r="Y198" s="263">
        <f t="shared" si="104"/>
        <v>57700828.67748893</v>
      </c>
      <c r="Z198" s="259">
        <f t="shared" si="104"/>
        <v>375249365.8666387</v>
      </c>
      <c r="AA198" s="263">
        <f t="shared" si="104"/>
        <v>174801828.73171604</v>
      </c>
      <c r="AB198" s="264">
        <f t="shared" si="104"/>
        <v>109771689.16640332</v>
      </c>
      <c r="AC198" s="82">
        <f t="shared" si="105"/>
        <v>100.6163803950781</v>
      </c>
      <c r="AD198" s="83">
        <f t="shared" si="106"/>
        <v>7.842681542862755</v>
      </c>
      <c r="AE198" s="83">
        <f t="shared" si="107"/>
        <v>1.7013214365093752</v>
      </c>
      <c r="AF198" s="84">
        <f t="shared" si="108"/>
        <v>0.46582844538060997</v>
      </c>
      <c r="AG198" s="85">
        <f t="shared" si="109"/>
        <v>59.14013556516053</v>
      </c>
      <c r="AH198" s="103">
        <f t="shared" si="110"/>
        <v>0.40958892746798736</v>
      </c>
      <c r="AI198" s="87">
        <f t="shared" si="111"/>
        <v>1.0683923003304414</v>
      </c>
      <c r="AJ198" s="109">
        <f t="shared" si="112"/>
        <v>0.2925299791323711</v>
      </c>
      <c r="AK198" s="83">
        <f t="shared" si="113"/>
        <v>63.184865478316</v>
      </c>
      <c r="AL198" s="87">
        <f t="shared" si="114"/>
        <v>4.925030858089738</v>
      </c>
    </row>
    <row r="199" spans="3:38" ht="12.75">
      <c r="C199" s="268" t="s">
        <v>76</v>
      </c>
      <c r="D199" s="256"/>
      <c r="E199" s="257"/>
      <c r="F199" s="97"/>
      <c r="G199" s="68"/>
      <c r="H199" s="68"/>
      <c r="I199" s="68"/>
      <c r="J199" s="68"/>
      <c r="K199" s="68"/>
      <c r="L199" s="68"/>
      <c r="M199" s="68"/>
      <c r="N199" s="151">
        <f aca="true" t="shared" si="116" ref="N199:V199">N177+N123</f>
        <v>352</v>
      </c>
      <c r="O199" s="151">
        <f t="shared" si="116"/>
        <v>346</v>
      </c>
      <c r="P199" s="151">
        <f t="shared" si="116"/>
        <v>1332419.066666667</v>
      </c>
      <c r="Q199" s="258">
        <f t="shared" si="116"/>
        <v>1231464.133333333</v>
      </c>
      <c r="R199" s="151">
        <f t="shared" si="116"/>
        <v>20081279.2</v>
      </c>
      <c r="S199" s="259">
        <f t="shared" si="116"/>
        <v>17222186</v>
      </c>
      <c r="T199" s="259">
        <f t="shared" si="116"/>
        <v>712091995</v>
      </c>
      <c r="U199" s="151">
        <f t="shared" si="116"/>
        <v>1.12</v>
      </c>
      <c r="V199" s="151">
        <f t="shared" si="116"/>
        <v>52900936.562926434</v>
      </c>
      <c r="W199" s="261"/>
      <c r="X199" s="98">
        <f t="shared" si="103"/>
        <v>4.935715028383833</v>
      </c>
      <c r="Y199" s="263">
        <f t="shared" si="104"/>
        <v>29846587.633370206</v>
      </c>
      <c r="Z199" s="259">
        <f t="shared" si="104"/>
        <v>261103947.6092158</v>
      </c>
      <c r="AA199" s="263">
        <f t="shared" si="104"/>
        <v>133667331.58392362</v>
      </c>
      <c r="AB199" s="264">
        <f t="shared" si="104"/>
        <v>98057038.23347728</v>
      </c>
      <c r="AC199" s="82">
        <f t="shared" si="105"/>
        <v>108.54342239112742</v>
      </c>
      <c r="AD199" s="83">
        <f t="shared" si="106"/>
        <v>7.761345254541069</v>
      </c>
      <c r="AE199" s="83">
        <f t="shared" si="107"/>
        <v>2.5267479229772123</v>
      </c>
      <c r="AF199" s="84">
        <f t="shared" si="108"/>
        <v>0.5119314847892624</v>
      </c>
      <c r="AG199" s="85">
        <f t="shared" si="109"/>
        <v>42.95775664999184</v>
      </c>
      <c r="AH199" s="103">
        <f t="shared" si="110"/>
        <v>0.366671651194753</v>
      </c>
      <c r="AI199" s="87">
        <f t="shared" si="111"/>
        <v>1.8535973955175067</v>
      </c>
      <c r="AJ199" s="109">
        <f t="shared" si="112"/>
        <v>0.37554789627399837</v>
      </c>
      <c r="AK199" s="83">
        <f t="shared" si="113"/>
        <v>79.62638584369974</v>
      </c>
      <c r="AL199" s="87">
        <f t="shared" si="114"/>
        <v>5.693646453097028</v>
      </c>
    </row>
    <row r="200" spans="3:38" ht="12.75">
      <c r="C200" s="268" t="s">
        <v>75</v>
      </c>
      <c r="D200" s="256"/>
      <c r="E200" s="257"/>
      <c r="F200" s="97"/>
      <c r="G200" s="68"/>
      <c r="H200" s="68"/>
      <c r="I200" s="68"/>
      <c r="J200" s="68"/>
      <c r="K200" s="68"/>
      <c r="L200" s="68"/>
      <c r="M200" s="68"/>
      <c r="N200" s="151">
        <f aca="true" t="shared" si="117" ref="N200:V200">N178+N124</f>
        <v>345</v>
      </c>
      <c r="O200" s="151">
        <f t="shared" si="117"/>
        <v>321</v>
      </c>
      <c r="P200" s="151">
        <f t="shared" si="117"/>
        <v>1202592.225</v>
      </c>
      <c r="Q200" s="258">
        <f t="shared" si="117"/>
        <v>1116066.0166666666</v>
      </c>
      <c r="R200" s="151">
        <f t="shared" si="117"/>
        <v>15200938.7</v>
      </c>
      <c r="S200" s="259">
        <f t="shared" si="117"/>
        <v>12879214.4</v>
      </c>
      <c r="T200" s="259">
        <f t="shared" si="117"/>
        <v>529827393.29999995</v>
      </c>
      <c r="U200" s="151">
        <f t="shared" si="117"/>
        <v>1.37</v>
      </c>
      <c r="V200" s="151">
        <f t="shared" si="117"/>
        <v>59737964.86573068</v>
      </c>
      <c r="W200" s="261"/>
      <c r="X200" s="98">
        <f t="shared" si="103"/>
        <v>3.3619838049734425</v>
      </c>
      <c r="Y200" s="263">
        <f t="shared" si="104"/>
        <v>33739218.408445545</v>
      </c>
      <c r="Z200" s="259">
        <f t="shared" si="104"/>
        <v>200838070.42065907</v>
      </c>
      <c r="AA200" s="263">
        <f t="shared" si="104"/>
        <v>109578716.74607782</v>
      </c>
      <c r="AB200" s="264">
        <f t="shared" si="104"/>
        <v>71234252.76924467</v>
      </c>
      <c r="AC200" s="82">
        <f t="shared" si="105"/>
        <v>98.18300630042881</v>
      </c>
      <c r="AD200" s="83">
        <f t="shared" si="106"/>
        <v>8.508183289974411</v>
      </c>
      <c r="AE200" s="83">
        <f t="shared" si="107"/>
        <v>1.8343228965427782</v>
      </c>
      <c r="AF200" s="84">
        <f t="shared" si="108"/>
        <v>0.5456072970456406</v>
      </c>
      <c r="AG200" s="85">
        <f t="shared" si="109"/>
        <v>53.52547606829651</v>
      </c>
      <c r="AH200" s="103">
        <f t="shared" si="110"/>
        <v>0.37906320616937245</v>
      </c>
      <c r="AI200" s="87">
        <f t="shared" si="111"/>
        <v>1.1924452553640468</v>
      </c>
      <c r="AJ200" s="109">
        <f t="shared" si="112"/>
        <v>0.3546850087737011</v>
      </c>
      <c r="AK200" s="83">
        <f t="shared" si="113"/>
        <v>63.826199978742004</v>
      </c>
      <c r="AL200" s="87">
        <f t="shared" si="114"/>
        <v>5.530947040468917</v>
      </c>
    </row>
    <row r="201" spans="3:38" ht="13.5" thickBot="1">
      <c r="C201" s="276" t="s">
        <v>78</v>
      </c>
      <c r="D201" s="277"/>
      <c r="E201" s="278"/>
      <c r="F201" s="279"/>
      <c r="G201" s="68"/>
      <c r="H201" s="68"/>
      <c r="I201" s="68"/>
      <c r="J201" s="68"/>
      <c r="K201" s="68"/>
      <c r="L201" s="68"/>
      <c r="M201" s="68"/>
      <c r="N201" s="283">
        <f aca="true" t="shared" si="118" ref="N201:V201">N179+N125</f>
        <v>549</v>
      </c>
      <c r="O201" s="283">
        <f t="shared" si="118"/>
        <v>538</v>
      </c>
      <c r="P201" s="283">
        <f t="shared" si="118"/>
        <v>2095155.8333333333</v>
      </c>
      <c r="Q201" s="281">
        <f t="shared" si="118"/>
        <v>1921368</v>
      </c>
      <c r="R201" s="283">
        <f t="shared" si="118"/>
        <v>25969760.4</v>
      </c>
      <c r="S201" s="282">
        <f t="shared" si="118"/>
        <v>21810426.4</v>
      </c>
      <c r="T201" s="282">
        <f t="shared" si="118"/>
        <v>896089358.25</v>
      </c>
      <c r="U201" s="283">
        <f t="shared" si="118"/>
        <v>1.37</v>
      </c>
      <c r="V201" s="283">
        <f t="shared" si="118"/>
        <v>100846595.18430099</v>
      </c>
      <c r="W201" s="284"/>
      <c r="X201" s="135">
        <f t="shared" si="103"/>
        <v>3.8893615060652347</v>
      </c>
      <c r="Y201" s="286">
        <f t="shared" si="104"/>
        <v>56097105.33377999</v>
      </c>
      <c r="Z201" s="282">
        <f t="shared" si="104"/>
        <v>392228865.32756394</v>
      </c>
      <c r="AA201" s="286">
        <f t="shared" si="104"/>
        <v>191943950.4111658</v>
      </c>
      <c r="AB201" s="287">
        <f t="shared" si="104"/>
        <v>127539853.32254635</v>
      </c>
      <c r="AC201" s="139">
        <f t="shared" si="105"/>
        <v>99.89962902013868</v>
      </c>
      <c r="AD201" s="140">
        <f t="shared" si="106"/>
        <v>8.800559277977518</v>
      </c>
      <c r="AE201" s="140">
        <f t="shared" si="107"/>
        <v>1.9033260375363286</v>
      </c>
      <c r="AF201" s="183">
        <f t="shared" si="108"/>
        <v>0.489367222503797</v>
      </c>
      <c r="AG201" s="184">
        <f t="shared" si="109"/>
        <v>52.48687142926342</v>
      </c>
      <c r="AH201" s="556">
        <f t="shared" si="110"/>
        <v>0.4377117769745191</v>
      </c>
      <c r="AI201" s="186">
        <f t="shared" si="111"/>
        <v>1.2646917140778269</v>
      </c>
      <c r="AJ201" s="185">
        <f t="shared" si="112"/>
        <v>0.32516692318407875</v>
      </c>
      <c r="AK201" s="140">
        <f t="shared" si="113"/>
        <v>66.37971139445767</v>
      </c>
      <c r="AL201" s="186">
        <f t="shared" si="114"/>
        <v>5.847655198641433</v>
      </c>
    </row>
    <row r="202" spans="3:38" ht="17.25" customHeight="1" thickBot="1" thickTop="1">
      <c r="C202" s="568" t="s">
        <v>128</v>
      </c>
      <c r="D202" s="569"/>
      <c r="E202" s="569"/>
      <c r="F202" s="570"/>
      <c r="G202" s="450"/>
      <c r="H202" s="450"/>
      <c r="I202" s="450"/>
      <c r="J202" s="450"/>
      <c r="K202" s="450"/>
      <c r="L202" s="450"/>
      <c r="M202" s="450"/>
      <c r="N202" s="152">
        <f>SUM(N197:N201)</f>
        <v>2081</v>
      </c>
      <c r="O202" s="152">
        <f>SUM(O197:O201)</f>
        <v>2049</v>
      </c>
      <c r="P202" s="152">
        <f aca="true" t="shared" si="119" ref="P202:V202">SUM(P197:P201)</f>
        <v>8000188.516666667</v>
      </c>
      <c r="Q202" s="149">
        <f t="shared" si="119"/>
        <v>7398153.683333333</v>
      </c>
      <c r="R202" s="152">
        <f t="shared" si="119"/>
        <v>107510093.80000001</v>
      </c>
      <c r="S202" s="150">
        <f t="shared" si="119"/>
        <v>91723126.19999999</v>
      </c>
      <c r="T202" s="150">
        <f t="shared" si="119"/>
        <v>3771126401.3</v>
      </c>
      <c r="U202" s="152">
        <f t="shared" si="119"/>
        <v>8.84</v>
      </c>
      <c r="V202" s="152">
        <f t="shared" si="119"/>
        <v>381050987.3398056</v>
      </c>
      <c r="W202" s="154"/>
      <c r="X202" s="155">
        <f t="shared" si="103"/>
        <v>3.9746646458922625</v>
      </c>
      <c r="Y202" s="156">
        <f>SUM(Y197:Y201)</f>
        <v>214532991.19817778</v>
      </c>
      <c r="Z202" s="150">
        <f>SUM(Z197:Z201)</f>
        <v>1514549887.6618655</v>
      </c>
      <c r="AA202" s="156">
        <f>SUM(AA197:AA201)</f>
        <v>751363016.8338667</v>
      </c>
      <c r="AB202" s="157">
        <f>SUM(AB197:AB201)</f>
        <v>510824771.70756185</v>
      </c>
      <c r="AC202" s="518">
        <f t="shared" si="105"/>
        <v>101.56088248430797</v>
      </c>
      <c r="AD202" s="519">
        <f t="shared" si="106"/>
        <v>8.19164204233007</v>
      </c>
      <c r="AE202" s="519">
        <f t="shared" si="107"/>
        <v>1.9718175304551357</v>
      </c>
      <c r="AF202" s="520">
        <f t="shared" si="108"/>
        <v>0.4960965782340833</v>
      </c>
      <c r="AG202" s="557">
        <f t="shared" si="109"/>
        <v>51.506227587329356</v>
      </c>
      <c r="AH202" s="558">
        <f t="shared" si="110"/>
        <v>0.4016173754185919</v>
      </c>
      <c r="AI202" s="308">
        <f t="shared" si="111"/>
        <v>1.3405680307345047</v>
      </c>
      <c r="AJ202" s="523">
        <f t="shared" si="112"/>
        <v>0.3372782738085728</v>
      </c>
      <c r="AK202" s="307">
        <f t="shared" si="113"/>
        <v>69.04760208730933</v>
      </c>
      <c r="AL202" s="308">
        <f t="shared" si="114"/>
        <v>5.5692036770936175</v>
      </c>
    </row>
    <row r="203" spans="3:38" ht="17.25" customHeight="1" thickBot="1">
      <c r="C203" s="309"/>
      <c r="D203" s="524"/>
      <c r="E203" s="524"/>
      <c r="F203" s="524"/>
      <c r="G203" s="68"/>
      <c r="H203" s="68"/>
      <c r="I203" s="68"/>
      <c r="J203" s="68"/>
      <c r="K203" s="68"/>
      <c r="L203" s="68"/>
      <c r="M203" s="68"/>
      <c r="N203" s="151"/>
      <c r="O203" s="151"/>
      <c r="P203" s="151"/>
      <c r="Q203" s="151"/>
      <c r="R203" s="151"/>
      <c r="S203" s="151"/>
      <c r="T203" s="151"/>
      <c r="U203" s="151"/>
      <c r="V203" s="151"/>
      <c r="W203" s="261"/>
      <c r="X203" s="167"/>
      <c r="Y203" s="264"/>
      <c r="Z203" s="151"/>
      <c r="AA203" s="264"/>
      <c r="AB203" s="264"/>
      <c r="AC203" s="83"/>
      <c r="AD203" s="83"/>
      <c r="AE203" s="83"/>
      <c r="AF203" s="311"/>
      <c r="AG203" s="312"/>
      <c r="AH203" s="83"/>
      <c r="AI203" s="83"/>
      <c r="AJ203" s="311"/>
      <c r="AK203" s="83"/>
      <c r="AL203" s="83"/>
    </row>
    <row r="204" spans="1:38" s="260" customFormat="1" ht="13.5" thickBot="1">
      <c r="A204" s="559"/>
      <c r="B204" s="560"/>
      <c r="C204" s="561" t="s">
        <v>129</v>
      </c>
      <c r="D204" s="562"/>
      <c r="E204" s="562"/>
      <c r="F204" s="562"/>
      <c r="G204" s="354"/>
      <c r="H204" s="354"/>
      <c r="I204" s="354"/>
      <c r="J204" s="354"/>
      <c r="K204" s="354"/>
      <c r="L204" s="354"/>
      <c r="M204" s="354"/>
      <c r="N204" s="525">
        <v>2000</v>
      </c>
      <c r="O204" s="360"/>
      <c r="P204" s="360"/>
      <c r="Q204" s="360">
        <v>7377000</v>
      </c>
      <c r="R204" s="360"/>
      <c r="S204" s="360">
        <v>88629000</v>
      </c>
      <c r="T204" s="360">
        <f>T182+T131</f>
        <v>3658136000</v>
      </c>
      <c r="U204" s="563"/>
      <c r="V204" s="360">
        <v>356329000</v>
      </c>
      <c r="W204" s="361"/>
      <c r="X204" s="362">
        <f>Z204/V204</f>
        <v>3.9307157149712766</v>
      </c>
      <c r="Y204" s="363">
        <v>228050560</v>
      </c>
      <c r="Z204" s="360">
        <v>1400628000</v>
      </c>
      <c r="AA204" s="363">
        <f>AC204*Q204</f>
        <v>755478570</v>
      </c>
      <c r="AB204" s="363">
        <f>AI204*V204</f>
        <v>505987180</v>
      </c>
      <c r="AC204" s="527">
        <v>102.41</v>
      </c>
      <c r="AD204" s="365">
        <f>AA204/S204</f>
        <v>8.524056121585486</v>
      </c>
      <c r="AE204" s="528">
        <v>2.11</v>
      </c>
      <c r="AF204" s="528">
        <v>0.54</v>
      </c>
      <c r="AG204" s="529">
        <f>V204/Q204</f>
        <v>48.302697573539376</v>
      </c>
      <c r="AH204" s="368">
        <f>Z204/T204</f>
        <v>0.38288024283405536</v>
      </c>
      <c r="AI204" s="530">
        <v>1.42</v>
      </c>
      <c r="AJ204" s="530">
        <v>0.36</v>
      </c>
      <c r="AK204" s="528">
        <f>AB204/Q204</f>
        <v>68.58983055442592</v>
      </c>
      <c r="AL204" s="530">
        <f>AB204/S204</f>
        <v>5.709047602929064</v>
      </c>
    </row>
    <row r="206" spans="14:28" ht="12.75">
      <c r="N206" s="564"/>
      <c r="O206" s="564"/>
      <c r="P206" s="564"/>
      <c r="Q206" s="564"/>
      <c r="R206" s="564"/>
      <c r="S206" s="564"/>
      <c r="T206" s="564"/>
      <c r="V206" s="564"/>
      <c r="W206" s="565"/>
      <c r="Y206" s="566"/>
      <c r="Z206" s="564"/>
      <c r="AA206" s="566"/>
      <c r="AB206" s="566"/>
    </row>
    <row r="208" ht="12.75">
      <c r="Q208" s="564"/>
    </row>
    <row r="210" ht="12.75">
      <c r="AC210" s="567"/>
    </row>
  </sheetData>
  <mergeCells count="10">
    <mergeCell ref="N4:O4"/>
    <mergeCell ref="AC4:AI4"/>
    <mergeCell ref="D5:F5"/>
    <mergeCell ref="B33:F33"/>
    <mergeCell ref="C180:F180"/>
    <mergeCell ref="C202:F202"/>
    <mergeCell ref="B119:F119"/>
    <mergeCell ref="C126:F126"/>
    <mergeCell ref="C171:F171"/>
    <mergeCell ref="C172:F172"/>
  </mergeCells>
  <printOptions horizontalCentered="1" verticalCentered="1"/>
  <pageMargins left="0.17" right="0.16" top="0.46" bottom="0.31" header="0.2" footer="0.17"/>
  <pageSetup horizontalDpi="600" verticalDpi="600" orientation="landscape" scale="80" r:id="rId1"/>
  <headerFooter alignWithMargins="0">
    <oddHeader>&amp;R&amp;"Arial,Bold"&amp;16ATTACHMENT  A</oddHeader>
    <oddFooter>&amp;L&amp;F&amp;C&amp;P of &amp;N&amp;R&amp;9&amp;D</oddFooter>
  </headerFooter>
  <rowBreaks count="1" manualBreakCount="1">
    <brk id="1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MS-Word</dc:creator>
  <cp:keywords/>
  <dc:description/>
  <cp:lastModifiedBy>lumbagamboac</cp:lastModifiedBy>
  <cp:lastPrinted>2003-05-29T17:21:12Z</cp:lastPrinted>
  <dcterms:created xsi:type="dcterms:W3CDTF">2003-05-24T22:01:49Z</dcterms:created>
  <dcterms:modified xsi:type="dcterms:W3CDTF">2003-06-30T20:26:09Z</dcterms:modified>
  <cp:category/>
  <cp:version/>
  <cp:contentType/>
  <cp:contentStatus/>
</cp:coreProperties>
</file>