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13"/>
  <workbookPr codeName="ThisWorkbook"/>
  <xr:revisionPtr revIDLastSave="0" documentId="8_{289767F9-81C5-407B-9E0F-58331B192CB9}" xr6:coauthVersionLast="45" xr6:coauthVersionMax="45" xr10:uidLastSave="{00000000-0000-0000-0000-000000000000}"/>
  <bookViews>
    <workbookView xWindow="360" yWindow="90" windowWidth="17790" windowHeight="10155" tabRatio="701" firstSheet="3" activeTab="3" xr2:uid="{00000000-000D-0000-FFFF-FFFF00000000}"/>
  </bookViews>
  <sheets>
    <sheet name="instructions" sheetId="14" state="hidden" r:id="rId1"/>
    <sheet name="BudgetedData" sheetId="12" state="hidden" r:id="rId2"/>
    <sheet name="Data" sheetId="11" state="hidden" r:id="rId3"/>
    <sheet name="SRSHD Data" sheetId="3" r:id="rId4"/>
    <sheet name="Rail Lost RSH Data (NEW) (3)" sheetId="8" state="hidden" r:id="rId5"/>
    <sheet name="Bus Bridge and Special Event" sheetId="9" r:id="rId6"/>
    <sheet name="Glossary" sheetId="13" r:id="rId7"/>
    <sheet name="SRSHD Data " sheetId="2" state="hidden" r:id="rId8"/>
  </sheets>
  <definedNames>
    <definedName name="chart2">#REF!</definedName>
    <definedName name="mta46_SourceData_RSH" localSheetId="2" hidden="1">Data!$A$1:$H$241</definedName>
    <definedName name="_xlnm.Print_Area" localSheetId="5">'Bus Bridge and Special Event'!$A$1:$BH$62</definedName>
    <definedName name="_xlnm.Print_Area" localSheetId="4">'Rail Lost RSH Data (NEW) (3)'!$A$1:$AC$47</definedName>
    <definedName name="_xlnm.Print_Area" localSheetId="3">'SRSHD Data'!$A$1:$EZ$103</definedName>
    <definedName name="_xlnm.Print_Area" localSheetId="7">'SRSHD Data '!$A$1:$GA$127</definedName>
    <definedName name="_xlnm.Print_Titles" localSheetId="4">'Rail Lost RSH Data (NEW) (3)'!$1:$3</definedName>
    <definedName name="qdv_pay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T33" i="3" l="1"/>
  <c r="CT32" i="3"/>
  <c r="CT31" i="3"/>
  <c r="CS33" i="3"/>
  <c r="CS32" i="3"/>
  <c r="CS31" i="3"/>
  <c r="CG33" i="3"/>
  <c r="CG32" i="3"/>
  <c r="CG31" i="3"/>
  <c r="CF33" i="3"/>
  <c r="CF32" i="3"/>
  <c r="CF31" i="3"/>
  <c r="EQ44" i="3" l="1"/>
  <c r="EQ45" i="3"/>
  <c r="EQ46" i="3"/>
  <c r="EQ47" i="3"/>
  <c r="EQ32" i="3"/>
  <c r="EQ33" i="3"/>
  <c r="EQ34" i="3"/>
  <c r="EQ35" i="3"/>
  <c r="EQ36" i="3"/>
  <c r="ED44" i="3"/>
  <c r="ED45" i="3"/>
  <c r="ED46" i="3"/>
  <c r="ED47" i="3"/>
  <c r="ED32" i="3"/>
  <c r="ED33" i="3"/>
  <c r="ED34" i="3"/>
  <c r="ED35" i="3"/>
  <c r="ED36" i="3"/>
  <c r="DQ44" i="3"/>
  <c r="DQ45" i="3"/>
  <c r="DQ46" i="3"/>
  <c r="DQ47" i="3"/>
  <c r="DQ32" i="3"/>
  <c r="DQ33" i="3"/>
  <c r="DQ34" i="3"/>
  <c r="DQ35" i="3"/>
  <c r="DQ36" i="3"/>
  <c r="DD44" i="3"/>
  <c r="DD45" i="3"/>
  <c r="DD46" i="3"/>
  <c r="DD47" i="3"/>
  <c r="DD32" i="3"/>
  <c r="DD33" i="3"/>
  <c r="DD34" i="3"/>
  <c r="DD35" i="3"/>
  <c r="DD36" i="3"/>
  <c r="CQ44" i="3"/>
  <c r="CQ45" i="3"/>
  <c r="CQ46" i="3"/>
  <c r="CQ47" i="3"/>
  <c r="CQ32" i="3"/>
  <c r="CQ33" i="3"/>
  <c r="CQ34" i="3"/>
  <c r="CQ35" i="3"/>
  <c r="CQ36" i="3"/>
  <c r="CD44" i="3"/>
  <c r="CD45" i="3"/>
  <c r="CD46" i="3"/>
  <c r="CD47" i="3"/>
  <c r="CD32" i="3"/>
  <c r="CD33" i="3"/>
  <c r="CD34" i="3"/>
  <c r="CD35" i="3"/>
  <c r="CD36" i="3"/>
  <c r="BQ44" i="3"/>
  <c r="BQ45" i="3"/>
  <c r="BQ46" i="3"/>
  <c r="BQ47" i="3"/>
  <c r="BQ32" i="3"/>
  <c r="BQ33" i="3"/>
  <c r="BQ34" i="3"/>
  <c r="BQ35" i="3"/>
  <c r="BQ36" i="3"/>
  <c r="BD44" i="3"/>
  <c r="BD45" i="3"/>
  <c r="BD46" i="3"/>
  <c r="BD47" i="3"/>
  <c r="BD32" i="3"/>
  <c r="BD33" i="3"/>
  <c r="BD34" i="3"/>
  <c r="BD35" i="3"/>
  <c r="BD36" i="3"/>
  <c r="AQ44" i="3"/>
  <c r="AQ45" i="3"/>
  <c r="AQ46" i="3"/>
  <c r="AQ47" i="3"/>
  <c r="AQ32" i="3"/>
  <c r="AQ33" i="3"/>
  <c r="AQ34" i="3"/>
  <c r="AQ35" i="3"/>
  <c r="AQ36" i="3"/>
  <c r="AD44" i="3"/>
  <c r="AD45" i="3"/>
  <c r="AD46" i="3"/>
  <c r="AD47" i="3"/>
  <c r="AD32" i="3"/>
  <c r="AD33" i="3"/>
  <c r="AD34" i="3"/>
  <c r="AD35" i="3"/>
  <c r="AD36" i="3"/>
  <c r="Q44" i="3"/>
  <c r="Q45" i="3"/>
  <c r="Q46" i="3"/>
  <c r="Q47" i="3"/>
  <c r="Q32" i="3"/>
  <c r="Q33" i="3"/>
  <c r="Q34" i="3"/>
  <c r="Q35" i="3"/>
  <c r="Q36" i="3"/>
  <c r="D44" i="3"/>
  <c r="D45" i="3"/>
  <c r="D46" i="3"/>
  <c r="D47" i="3"/>
  <c r="D32" i="3"/>
  <c r="D33" i="3"/>
  <c r="D34" i="3"/>
  <c r="D35" i="3"/>
  <c r="D36" i="3"/>
  <c r="EQ42" i="3"/>
  <c r="ED42" i="3"/>
  <c r="DQ42" i="3"/>
  <c r="DD42" i="3"/>
  <c r="CQ42" i="3"/>
  <c r="CD42" i="3"/>
  <c r="BQ42" i="3"/>
  <c r="BD42" i="3"/>
  <c r="AQ42" i="3"/>
  <c r="AD42" i="3"/>
  <c r="Q42" i="3"/>
  <c r="EQ31" i="3"/>
  <c r="ED31" i="3"/>
  <c r="DQ31" i="3"/>
  <c r="DD31" i="3"/>
  <c r="CQ31" i="3"/>
  <c r="CD31" i="3"/>
  <c r="BQ31" i="3"/>
  <c r="BD31" i="3"/>
  <c r="AQ31" i="3"/>
  <c r="AD31" i="3"/>
  <c r="Q31" i="3"/>
  <c r="D42" i="3"/>
  <c r="EQ8" i="3"/>
  <c r="EQ10" i="3"/>
  <c r="EQ12" i="3"/>
  <c r="EQ14" i="3"/>
  <c r="EQ16" i="3"/>
  <c r="EQ18" i="3"/>
  <c r="EQ20" i="3"/>
  <c r="EQ22" i="3"/>
  <c r="EQ24" i="3"/>
  <c r="EQ26" i="3"/>
  <c r="ED8" i="3"/>
  <c r="ED10" i="3"/>
  <c r="ED12" i="3"/>
  <c r="ED14" i="3"/>
  <c r="ED16" i="3"/>
  <c r="ED18" i="3"/>
  <c r="ED20" i="3"/>
  <c r="ED22" i="3"/>
  <c r="ED24" i="3"/>
  <c r="ED26" i="3"/>
  <c r="DQ8" i="3"/>
  <c r="DQ10" i="3"/>
  <c r="DQ12" i="3"/>
  <c r="DQ14" i="3"/>
  <c r="DQ16" i="3"/>
  <c r="DQ18" i="3"/>
  <c r="DQ20" i="3"/>
  <c r="DQ22" i="3"/>
  <c r="DQ24" i="3"/>
  <c r="DQ26" i="3"/>
  <c r="DD8" i="3"/>
  <c r="DD10" i="3"/>
  <c r="DD12" i="3"/>
  <c r="DD14" i="3"/>
  <c r="DD16" i="3"/>
  <c r="DD18" i="3"/>
  <c r="DD20" i="3"/>
  <c r="DD22" i="3"/>
  <c r="DD24" i="3"/>
  <c r="DD26" i="3"/>
  <c r="CQ8" i="3"/>
  <c r="CQ10" i="3"/>
  <c r="CQ12" i="3"/>
  <c r="CQ14" i="3"/>
  <c r="CQ16" i="3"/>
  <c r="CQ18" i="3"/>
  <c r="CQ20" i="3"/>
  <c r="CQ22" i="3"/>
  <c r="CQ24" i="3"/>
  <c r="CQ26" i="3"/>
  <c r="CD8" i="3"/>
  <c r="CD10" i="3"/>
  <c r="CD12" i="3"/>
  <c r="CD14" i="3"/>
  <c r="CD16" i="3"/>
  <c r="CD18" i="3"/>
  <c r="CD20" i="3"/>
  <c r="CD22" i="3"/>
  <c r="CD24" i="3"/>
  <c r="CD26" i="3"/>
  <c r="BQ8" i="3"/>
  <c r="BQ10" i="3"/>
  <c r="BQ12" i="3"/>
  <c r="BQ14" i="3"/>
  <c r="BQ16" i="3"/>
  <c r="BQ18" i="3"/>
  <c r="BQ20" i="3"/>
  <c r="BQ22" i="3"/>
  <c r="BQ24" i="3"/>
  <c r="BQ26" i="3"/>
  <c r="BD8" i="3"/>
  <c r="BD10" i="3"/>
  <c r="BD12" i="3"/>
  <c r="BD14" i="3"/>
  <c r="BD16" i="3"/>
  <c r="BD18" i="3"/>
  <c r="BD20" i="3"/>
  <c r="BD22" i="3"/>
  <c r="BD24" i="3"/>
  <c r="BD26" i="3"/>
  <c r="AQ8" i="3"/>
  <c r="AQ10" i="3"/>
  <c r="AQ12" i="3"/>
  <c r="AQ14" i="3"/>
  <c r="AQ16" i="3"/>
  <c r="AQ18" i="3"/>
  <c r="AQ20" i="3"/>
  <c r="AQ22" i="3"/>
  <c r="AQ24" i="3"/>
  <c r="AQ26" i="3"/>
  <c r="AD8" i="3"/>
  <c r="AD10" i="3"/>
  <c r="AD12" i="3"/>
  <c r="AD14" i="3"/>
  <c r="AD16" i="3"/>
  <c r="AD18" i="3"/>
  <c r="AD20" i="3"/>
  <c r="AD22" i="3"/>
  <c r="AD24" i="3"/>
  <c r="AD26" i="3"/>
  <c r="D31" i="3"/>
  <c r="Q8" i="3"/>
  <c r="Q10" i="3"/>
  <c r="Q12" i="3"/>
  <c r="Q14" i="3"/>
  <c r="Q16" i="3"/>
  <c r="Q18" i="3"/>
  <c r="Q20" i="3"/>
  <c r="Q22" i="3"/>
  <c r="Q24" i="3"/>
  <c r="Q26" i="3"/>
  <c r="D8" i="3"/>
  <c r="D10" i="3"/>
  <c r="D12" i="3"/>
  <c r="D14" i="3"/>
  <c r="D16" i="3"/>
  <c r="D18" i="3"/>
  <c r="D20" i="3"/>
  <c r="D22" i="3"/>
  <c r="D24" i="3"/>
  <c r="D26" i="3"/>
  <c r="EQ6" i="3"/>
  <c r="ED6" i="3"/>
  <c r="DQ6" i="3"/>
  <c r="DD6" i="3"/>
  <c r="CQ6" i="3"/>
  <c r="CD6" i="3"/>
  <c r="BQ6" i="3"/>
  <c r="BD6" i="3"/>
  <c r="AQ6" i="3"/>
  <c r="AD6" i="3"/>
  <c r="Q6" i="3"/>
  <c r="D6" i="3"/>
  <c r="D28" i="3" l="1"/>
  <c r="EO55" i="3"/>
  <c r="EB55" i="3"/>
  <c r="DO55" i="3"/>
  <c r="DB55" i="3"/>
  <c r="CO55" i="3"/>
  <c r="CB55" i="3"/>
  <c r="BO55" i="3"/>
  <c r="BB55" i="3"/>
  <c r="AO55" i="3"/>
  <c r="AB55" i="3"/>
  <c r="O55" i="3"/>
  <c r="O56" i="3"/>
  <c r="BE34" i="9"/>
  <c r="BE33" i="9"/>
  <c r="AZ34" i="9"/>
  <c r="AZ33" i="9"/>
  <c r="AU34" i="9"/>
  <c r="AU33" i="9"/>
  <c r="AP34" i="9"/>
  <c r="AP33" i="9"/>
  <c r="AK34" i="9"/>
  <c r="AK33" i="9"/>
  <c r="AF34" i="9"/>
  <c r="AF33" i="9"/>
  <c r="AA34" i="9"/>
  <c r="AA33" i="9"/>
  <c r="V34" i="9"/>
  <c r="V33" i="9"/>
  <c r="Q34" i="9"/>
  <c r="Q33" i="9"/>
  <c r="L34" i="9"/>
  <c r="L33" i="9"/>
  <c r="G34" i="9"/>
  <c r="G33" i="9"/>
  <c r="B34" i="9"/>
  <c r="B33" i="9"/>
  <c r="BE2" i="9"/>
  <c r="AZ2" i="9"/>
  <c r="AU2" i="9"/>
  <c r="AP2" i="9"/>
  <c r="AK2" i="9"/>
  <c r="AF2" i="9"/>
  <c r="AA2" i="9"/>
  <c r="V2" i="9"/>
  <c r="Q2" i="9"/>
  <c r="L2" i="9"/>
  <c r="G2" i="9"/>
  <c r="B2" i="9"/>
  <c r="EO56" i="3"/>
  <c r="EB56" i="3"/>
  <c r="DO56" i="3"/>
  <c r="DB56" i="3"/>
  <c r="CO56" i="3"/>
  <c r="CB56" i="3"/>
  <c r="BO56" i="3"/>
  <c r="BB56" i="3"/>
  <c r="AO56" i="3"/>
  <c r="AB56" i="3"/>
  <c r="B56" i="3"/>
  <c r="B55" i="3"/>
  <c r="EO2" i="3"/>
  <c r="EB2" i="3"/>
  <c r="DO2" i="3"/>
  <c r="DB2" i="3"/>
  <c r="CO2" i="3"/>
  <c r="CB2" i="3"/>
  <c r="BO2" i="3"/>
  <c r="BB2" i="3"/>
  <c r="AO2" i="3"/>
  <c r="AB2" i="3"/>
  <c r="O2" i="3"/>
  <c r="B2" i="3"/>
  <c r="D76" i="3"/>
  <c r="Q76" i="3" s="1"/>
  <c r="AD76" i="3" s="1"/>
  <c r="EQ38" i="3"/>
  <c r="ED38" i="3"/>
  <c r="DQ38" i="3"/>
  <c r="DD38" i="3"/>
  <c r="CT38" i="3"/>
  <c r="CS38" i="3"/>
  <c r="CQ38" i="3"/>
  <c r="CG38" i="3"/>
  <c r="CF38" i="3"/>
  <c r="CD38" i="3"/>
  <c r="BQ38" i="3"/>
  <c r="BD38" i="3"/>
  <c r="AQ38" i="3"/>
  <c r="AD38" i="3"/>
  <c r="Q38" i="3"/>
  <c r="D38" i="3"/>
  <c r="AD49" i="3"/>
  <c r="Q49" i="3"/>
  <c r="EW36" i="3"/>
  <c r="EV36" i="3"/>
  <c r="EW35" i="3"/>
  <c r="EV35" i="3"/>
  <c r="EW34" i="3"/>
  <c r="EV34" i="3"/>
  <c r="EX36" i="3"/>
  <c r="EX35" i="3"/>
  <c r="EX34" i="3"/>
  <c r="EK36" i="3"/>
  <c r="EK35" i="3"/>
  <c r="EK34" i="3"/>
  <c r="EJ36" i="3"/>
  <c r="EI36" i="3"/>
  <c r="EJ35" i="3"/>
  <c r="EI35" i="3"/>
  <c r="EJ34" i="3"/>
  <c r="EI34" i="3"/>
  <c r="DW36" i="3"/>
  <c r="DV36" i="3"/>
  <c r="DW35" i="3"/>
  <c r="DV35" i="3"/>
  <c r="DW34" i="3"/>
  <c r="DV34" i="3"/>
  <c r="DJ36" i="3"/>
  <c r="DI36" i="3"/>
  <c r="DJ35" i="3"/>
  <c r="DI35" i="3"/>
  <c r="DJ34" i="3"/>
  <c r="DI34" i="3"/>
  <c r="CX36" i="3"/>
  <c r="CX35" i="3"/>
  <c r="CX34" i="3"/>
  <c r="CW36" i="3"/>
  <c r="CV36" i="3"/>
  <c r="CW35" i="3"/>
  <c r="CV35" i="3"/>
  <c r="CW34" i="3"/>
  <c r="CV34" i="3"/>
  <c r="CK36" i="3"/>
  <c r="CK35" i="3"/>
  <c r="CK34" i="3"/>
  <c r="CJ36" i="3"/>
  <c r="CI36" i="3"/>
  <c r="CJ35" i="3"/>
  <c r="CI35" i="3"/>
  <c r="CJ34" i="3"/>
  <c r="CI34" i="3"/>
  <c r="BX36" i="3"/>
  <c r="BX35" i="3"/>
  <c r="BX34" i="3"/>
  <c r="BW36" i="3"/>
  <c r="BV36" i="3"/>
  <c r="BW35" i="3"/>
  <c r="BV35" i="3"/>
  <c r="BW34" i="3"/>
  <c r="BV34" i="3"/>
  <c r="BK36" i="3"/>
  <c r="BK35" i="3"/>
  <c r="BK34" i="3"/>
  <c r="BJ36" i="3"/>
  <c r="BI36" i="3"/>
  <c r="BJ35" i="3"/>
  <c r="BI35" i="3"/>
  <c r="BJ34" i="3"/>
  <c r="BI34" i="3"/>
  <c r="AJ36" i="3"/>
  <c r="AI36" i="3"/>
  <c r="AJ35" i="3"/>
  <c r="AJ34" i="3"/>
  <c r="X36" i="3"/>
  <c r="X35" i="3"/>
  <c r="X34" i="3"/>
  <c r="W36" i="3"/>
  <c r="V36" i="3"/>
  <c r="W35" i="3"/>
  <c r="W34" i="3"/>
  <c r="K36" i="3"/>
  <c r="K35" i="3"/>
  <c r="K34" i="3"/>
  <c r="J36" i="3"/>
  <c r="I36" i="3"/>
  <c r="J35" i="3"/>
  <c r="J34" i="3"/>
  <c r="ET45" i="3"/>
  <c r="ET47" i="3"/>
  <c r="ET46" i="3"/>
  <c r="ET42" i="3"/>
  <c r="ET44" i="3"/>
  <c r="ES45" i="3"/>
  <c r="ES47" i="3"/>
  <c r="ES46" i="3"/>
  <c r="ES42" i="3"/>
  <c r="ES44" i="3"/>
  <c r="ER45" i="3"/>
  <c r="ER47" i="3"/>
  <c r="ER46" i="3"/>
  <c r="EX46" i="3" s="1"/>
  <c r="ER42" i="3"/>
  <c r="EG45" i="3"/>
  <c r="EG47" i="3"/>
  <c r="EG46" i="3"/>
  <c r="EG42" i="3"/>
  <c r="EG44" i="3"/>
  <c r="EF45" i="3"/>
  <c r="EF47" i="3"/>
  <c r="EF46" i="3"/>
  <c r="EF42" i="3"/>
  <c r="EF44" i="3"/>
  <c r="EE45" i="3"/>
  <c r="EE47" i="3"/>
  <c r="EE46" i="3"/>
  <c r="EE42" i="3"/>
  <c r="DT45" i="3"/>
  <c r="DT47" i="3"/>
  <c r="DT46" i="3"/>
  <c r="DT42" i="3"/>
  <c r="DT44" i="3"/>
  <c r="DS45" i="3"/>
  <c r="DS47" i="3"/>
  <c r="DS46" i="3"/>
  <c r="DS42" i="3"/>
  <c r="DS44" i="3"/>
  <c r="DR45" i="3"/>
  <c r="DR47" i="3"/>
  <c r="DR46" i="3"/>
  <c r="DR42" i="3"/>
  <c r="DG45" i="3"/>
  <c r="DG47" i="3"/>
  <c r="DG46" i="3"/>
  <c r="DG42" i="3"/>
  <c r="DG44" i="3"/>
  <c r="DF45" i="3"/>
  <c r="DF47" i="3"/>
  <c r="DF46" i="3"/>
  <c r="DF42" i="3"/>
  <c r="DF44" i="3"/>
  <c r="DE45" i="3"/>
  <c r="DE47" i="3"/>
  <c r="DE46" i="3"/>
  <c r="DE42" i="3"/>
  <c r="CT45" i="3"/>
  <c r="CT47" i="3"/>
  <c r="CT46" i="3"/>
  <c r="CT42" i="3"/>
  <c r="CT44" i="3"/>
  <c r="CS45" i="3"/>
  <c r="CS47" i="3"/>
  <c r="CS46" i="3"/>
  <c r="CS42" i="3"/>
  <c r="CS44" i="3"/>
  <c r="CR45" i="3"/>
  <c r="CR47" i="3"/>
  <c r="CR46" i="3"/>
  <c r="CR42" i="3"/>
  <c r="CG45" i="3"/>
  <c r="CG47" i="3"/>
  <c r="CG46" i="3"/>
  <c r="CG42" i="3"/>
  <c r="CG44" i="3"/>
  <c r="CF45" i="3"/>
  <c r="CF47" i="3"/>
  <c r="CF46" i="3"/>
  <c r="CF42" i="3"/>
  <c r="CF44" i="3"/>
  <c r="CE45" i="3"/>
  <c r="CE47" i="3"/>
  <c r="CE46" i="3"/>
  <c r="CE42" i="3"/>
  <c r="BT45" i="3"/>
  <c r="BT47" i="3"/>
  <c r="BT46" i="3"/>
  <c r="BT42" i="3"/>
  <c r="BT44" i="3"/>
  <c r="BS45" i="3"/>
  <c r="BS47" i="3"/>
  <c r="BS46" i="3"/>
  <c r="BS42" i="3"/>
  <c r="BS44" i="3"/>
  <c r="BR45" i="3"/>
  <c r="BR47" i="3"/>
  <c r="BR46" i="3"/>
  <c r="BX46" i="3" s="1"/>
  <c r="BR42" i="3"/>
  <c r="BX42" i="3" s="1"/>
  <c r="BG45" i="3"/>
  <c r="BG47" i="3"/>
  <c r="BG46" i="3"/>
  <c r="BG42" i="3"/>
  <c r="BG44" i="3"/>
  <c r="BF45" i="3"/>
  <c r="BF47" i="3"/>
  <c r="BF46" i="3"/>
  <c r="BF42" i="3"/>
  <c r="BF44" i="3"/>
  <c r="BE45" i="3"/>
  <c r="BE47" i="3"/>
  <c r="BE46" i="3"/>
  <c r="BE42" i="3"/>
  <c r="AT45" i="3"/>
  <c r="AT47" i="3"/>
  <c r="AT46" i="3"/>
  <c r="AT42" i="3"/>
  <c r="AT44" i="3"/>
  <c r="AS45" i="3"/>
  <c r="AS47" i="3"/>
  <c r="AS46" i="3"/>
  <c r="AS42" i="3"/>
  <c r="AS44" i="3"/>
  <c r="AR45" i="3"/>
  <c r="AR47" i="3"/>
  <c r="AR46" i="3"/>
  <c r="AR42" i="3"/>
  <c r="AR44" i="3"/>
  <c r="AG45" i="3"/>
  <c r="AG47" i="3"/>
  <c r="AG46" i="3"/>
  <c r="AG42" i="3"/>
  <c r="AG44" i="3"/>
  <c r="AF45" i="3"/>
  <c r="AF47" i="3"/>
  <c r="AF46" i="3"/>
  <c r="AF42" i="3"/>
  <c r="AF44" i="3"/>
  <c r="AE45" i="3"/>
  <c r="AK45" i="3" s="1"/>
  <c r="AE47" i="3"/>
  <c r="AK47" i="3" s="1"/>
  <c r="AE46" i="3"/>
  <c r="AE42" i="3"/>
  <c r="T45" i="3"/>
  <c r="T47" i="3"/>
  <c r="T46" i="3"/>
  <c r="T42" i="3"/>
  <c r="T44" i="3"/>
  <c r="S45" i="3"/>
  <c r="S47" i="3"/>
  <c r="S46" i="3"/>
  <c r="S42" i="3"/>
  <c r="S44" i="3"/>
  <c r="R45" i="3"/>
  <c r="R47" i="3"/>
  <c r="X47" i="3" s="1"/>
  <c r="R46" i="3"/>
  <c r="R42" i="3"/>
  <c r="G45" i="3"/>
  <c r="G47" i="3"/>
  <c r="G46" i="3"/>
  <c r="G42" i="3"/>
  <c r="G44" i="3"/>
  <c r="F45" i="3"/>
  <c r="F47" i="3"/>
  <c r="F46" i="3"/>
  <c r="F42" i="3"/>
  <c r="F44" i="3"/>
  <c r="E45" i="3"/>
  <c r="E47" i="3"/>
  <c r="E46" i="3"/>
  <c r="E42" i="3"/>
  <c r="EQ49" i="3"/>
  <c r="ED49" i="3"/>
  <c r="DQ49" i="3"/>
  <c r="DD49" i="3"/>
  <c r="CQ49" i="3"/>
  <c r="CD49" i="3"/>
  <c r="BQ49" i="3"/>
  <c r="BD49" i="3"/>
  <c r="AQ49" i="3"/>
  <c r="D49" i="3"/>
  <c r="T33" i="3"/>
  <c r="T32" i="3"/>
  <c r="T31" i="3"/>
  <c r="S33" i="3"/>
  <c r="S32" i="3"/>
  <c r="S31" i="3"/>
  <c r="R33" i="3"/>
  <c r="R32" i="3"/>
  <c r="X32" i="3" s="1"/>
  <c r="G33" i="3"/>
  <c r="G32" i="3"/>
  <c r="G31" i="3"/>
  <c r="F33" i="3"/>
  <c r="F32" i="3"/>
  <c r="F31" i="3"/>
  <c r="E33" i="3"/>
  <c r="K33" i="3" s="1"/>
  <c r="E32" i="3"/>
  <c r="BH28" i="9"/>
  <c r="BH26" i="9"/>
  <c r="BH24" i="9"/>
  <c r="BH22" i="9"/>
  <c r="BH20" i="9"/>
  <c r="BH18" i="9"/>
  <c r="BH16" i="9"/>
  <c r="BH14" i="9"/>
  <c r="BH12" i="9"/>
  <c r="BH10" i="9"/>
  <c r="BH8" i="9"/>
  <c r="BH6" i="9"/>
  <c r="BG28" i="9"/>
  <c r="BG26" i="9"/>
  <c r="BG24" i="9"/>
  <c r="BG22" i="9"/>
  <c r="BG20" i="9"/>
  <c r="BG18" i="9"/>
  <c r="BG16" i="9"/>
  <c r="BG14" i="9"/>
  <c r="BG12" i="9"/>
  <c r="BG10" i="9"/>
  <c r="BG8" i="9"/>
  <c r="BG6" i="9"/>
  <c r="BC28" i="9"/>
  <c r="BC26" i="9"/>
  <c r="BC24" i="9"/>
  <c r="BC22" i="9"/>
  <c r="BC20" i="9"/>
  <c r="BC18" i="9"/>
  <c r="BC16" i="9"/>
  <c r="BC14" i="9"/>
  <c r="BC12" i="9"/>
  <c r="BC10" i="9"/>
  <c r="BC8" i="9"/>
  <c r="BC6" i="9"/>
  <c r="BB28" i="9"/>
  <c r="BB26" i="9"/>
  <c r="BB24" i="9"/>
  <c r="BB22" i="9"/>
  <c r="BB20" i="9"/>
  <c r="BB18" i="9"/>
  <c r="BB16" i="9"/>
  <c r="BB14" i="9"/>
  <c r="BB12" i="9"/>
  <c r="BB10" i="9"/>
  <c r="BB8" i="9"/>
  <c r="BB6" i="9"/>
  <c r="AX28" i="9"/>
  <c r="AX26" i="9"/>
  <c r="AX24" i="9"/>
  <c r="AX22" i="9"/>
  <c r="AX20" i="9"/>
  <c r="AX18" i="9"/>
  <c r="AX16" i="9"/>
  <c r="AX14" i="9"/>
  <c r="AX12" i="9"/>
  <c r="AX10" i="9"/>
  <c r="AX8" i="9"/>
  <c r="AX6" i="9"/>
  <c r="AW28" i="9"/>
  <c r="AW26" i="9"/>
  <c r="AW24" i="9"/>
  <c r="AW22" i="9"/>
  <c r="AW20" i="9"/>
  <c r="AW18" i="9"/>
  <c r="AW16" i="9"/>
  <c r="AW14" i="9"/>
  <c r="AW12" i="9"/>
  <c r="AW10" i="9"/>
  <c r="AW8" i="9"/>
  <c r="AW6" i="9"/>
  <c r="AS28" i="9"/>
  <c r="AS26" i="9"/>
  <c r="AS24" i="9"/>
  <c r="AS22" i="9"/>
  <c r="AS20" i="9"/>
  <c r="AS18" i="9"/>
  <c r="AS16" i="9"/>
  <c r="AS14" i="9"/>
  <c r="AS12" i="9"/>
  <c r="AS10" i="9"/>
  <c r="AS8" i="9"/>
  <c r="AS6" i="9"/>
  <c r="AR28" i="9"/>
  <c r="AR26" i="9"/>
  <c r="AR24" i="9"/>
  <c r="AR22" i="9"/>
  <c r="AR20" i="9"/>
  <c r="AR18" i="9"/>
  <c r="AR16" i="9"/>
  <c r="AR14" i="9"/>
  <c r="AR12" i="9"/>
  <c r="AR10" i="9"/>
  <c r="AR8" i="9"/>
  <c r="AR6" i="9"/>
  <c r="AN28" i="9"/>
  <c r="AN26" i="9"/>
  <c r="AN24" i="9"/>
  <c r="AN22" i="9"/>
  <c r="AN20" i="9"/>
  <c r="AN18" i="9"/>
  <c r="AN16" i="9"/>
  <c r="AN14" i="9"/>
  <c r="AN12" i="9"/>
  <c r="AN10" i="9"/>
  <c r="AN8" i="9"/>
  <c r="AN6" i="9"/>
  <c r="AM28" i="9"/>
  <c r="AM26" i="9"/>
  <c r="AM24" i="9"/>
  <c r="AM22" i="9"/>
  <c r="AM20" i="9"/>
  <c r="AM18" i="9"/>
  <c r="AM16" i="9"/>
  <c r="AM14" i="9"/>
  <c r="AM12" i="9"/>
  <c r="AM10" i="9"/>
  <c r="AM8" i="9"/>
  <c r="AM6" i="9"/>
  <c r="AI28" i="9"/>
  <c r="AI26" i="9"/>
  <c r="AI24" i="9"/>
  <c r="AI22" i="9"/>
  <c r="AI20" i="9"/>
  <c r="AI18" i="9"/>
  <c r="AI16" i="9"/>
  <c r="AI14" i="9"/>
  <c r="AI12" i="9"/>
  <c r="AI10" i="9"/>
  <c r="AI8" i="9"/>
  <c r="AI6" i="9"/>
  <c r="AH28" i="9"/>
  <c r="AH26" i="9"/>
  <c r="AH24" i="9"/>
  <c r="AH22" i="9"/>
  <c r="AH20" i="9"/>
  <c r="AH18" i="9"/>
  <c r="AH16" i="9"/>
  <c r="AH14" i="9"/>
  <c r="AH12" i="9"/>
  <c r="AH10" i="9"/>
  <c r="AH8" i="9"/>
  <c r="AH6" i="9"/>
  <c r="AD28" i="9"/>
  <c r="AD26" i="9"/>
  <c r="AD24" i="9"/>
  <c r="AD22" i="9"/>
  <c r="AD20" i="9"/>
  <c r="AD18" i="9"/>
  <c r="AD16" i="9"/>
  <c r="AD14" i="9"/>
  <c r="AD12" i="9"/>
  <c r="AD10" i="9"/>
  <c r="AD8" i="9"/>
  <c r="AD6" i="9"/>
  <c r="AC28" i="9"/>
  <c r="AC26" i="9"/>
  <c r="AC24" i="9"/>
  <c r="AC22" i="9"/>
  <c r="AC20" i="9"/>
  <c r="AC18" i="9"/>
  <c r="AC16" i="9"/>
  <c r="AC14" i="9"/>
  <c r="AC12" i="9"/>
  <c r="AC10" i="9"/>
  <c r="AC8" i="9"/>
  <c r="AC6" i="9"/>
  <c r="Y28" i="9"/>
  <c r="Y26" i="9"/>
  <c r="Y24" i="9"/>
  <c r="Y22" i="9"/>
  <c r="Y20" i="9"/>
  <c r="Y18" i="9"/>
  <c r="Y16" i="9"/>
  <c r="Y14" i="9"/>
  <c r="Y12" i="9"/>
  <c r="Y10" i="9"/>
  <c r="Y8" i="9"/>
  <c r="Y6" i="9"/>
  <c r="X28" i="9"/>
  <c r="X26" i="9"/>
  <c r="X24" i="9"/>
  <c r="X22" i="9"/>
  <c r="X20" i="9"/>
  <c r="X18" i="9"/>
  <c r="X16" i="9"/>
  <c r="X14" i="9"/>
  <c r="X12" i="9"/>
  <c r="X10" i="9"/>
  <c r="X8" i="9"/>
  <c r="X6" i="9"/>
  <c r="T28" i="9"/>
  <c r="T26" i="9"/>
  <c r="T24" i="9"/>
  <c r="T22" i="9"/>
  <c r="T20" i="9"/>
  <c r="T18" i="9"/>
  <c r="T16" i="9"/>
  <c r="T14" i="9"/>
  <c r="T12" i="9"/>
  <c r="T10" i="9"/>
  <c r="T8" i="9"/>
  <c r="T6" i="9"/>
  <c r="S28" i="9"/>
  <c r="S26" i="9"/>
  <c r="S24" i="9"/>
  <c r="S22" i="9"/>
  <c r="S20" i="9"/>
  <c r="S18" i="9"/>
  <c r="S16" i="9"/>
  <c r="S14" i="9"/>
  <c r="S12" i="9"/>
  <c r="S10" i="9"/>
  <c r="S8" i="9"/>
  <c r="S6" i="9"/>
  <c r="O28" i="9"/>
  <c r="O26" i="9"/>
  <c r="O24" i="9"/>
  <c r="O22" i="9"/>
  <c r="O20" i="9"/>
  <c r="O18" i="9"/>
  <c r="O16" i="9"/>
  <c r="O14" i="9"/>
  <c r="O12" i="9"/>
  <c r="O10" i="9"/>
  <c r="O8" i="9"/>
  <c r="O6" i="9"/>
  <c r="N28" i="9"/>
  <c r="N26" i="9"/>
  <c r="N24" i="9"/>
  <c r="N22" i="9"/>
  <c r="N20" i="9"/>
  <c r="N18" i="9"/>
  <c r="N16" i="9"/>
  <c r="N14" i="9"/>
  <c r="N12" i="9"/>
  <c r="N10" i="9"/>
  <c r="N8" i="9"/>
  <c r="N6" i="9"/>
  <c r="J28" i="9"/>
  <c r="J26" i="9"/>
  <c r="J24" i="9"/>
  <c r="J22" i="9"/>
  <c r="J20" i="9"/>
  <c r="J18" i="9"/>
  <c r="J16" i="9"/>
  <c r="J14" i="9"/>
  <c r="J12" i="9"/>
  <c r="J10" i="9"/>
  <c r="J8" i="9"/>
  <c r="J6" i="9"/>
  <c r="I28" i="9"/>
  <c r="I26" i="9"/>
  <c r="I24" i="9"/>
  <c r="I22" i="9"/>
  <c r="I20" i="9"/>
  <c r="I18" i="9"/>
  <c r="I16" i="9"/>
  <c r="I14" i="9"/>
  <c r="I12" i="9"/>
  <c r="I10" i="9"/>
  <c r="I8" i="9"/>
  <c r="I6" i="9"/>
  <c r="E28" i="9"/>
  <c r="E60" i="9" s="1"/>
  <c r="E26" i="9"/>
  <c r="E58" i="9" s="1"/>
  <c r="E24" i="9"/>
  <c r="E56" i="9" s="1"/>
  <c r="E22" i="9"/>
  <c r="E54" i="9" s="1"/>
  <c r="E20" i="9"/>
  <c r="E52" i="9" s="1"/>
  <c r="E18" i="9"/>
  <c r="E50" i="9" s="1"/>
  <c r="E16" i="9"/>
  <c r="E48" i="9" s="1"/>
  <c r="E14" i="9"/>
  <c r="E46" i="9" s="1"/>
  <c r="E12" i="9"/>
  <c r="E44" i="9" s="1"/>
  <c r="E10" i="9"/>
  <c r="E42" i="9" s="1"/>
  <c r="E8" i="9"/>
  <c r="E40" i="9" s="1"/>
  <c r="E6" i="9"/>
  <c r="E38" i="9" s="1"/>
  <c r="D28" i="9"/>
  <c r="D60" i="9" s="1"/>
  <c r="D26" i="9"/>
  <c r="D58" i="9" s="1"/>
  <c r="D24" i="9"/>
  <c r="D56" i="9" s="1"/>
  <c r="D22" i="9"/>
  <c r="D54" i="9" s="1"/>
  <c r="I54" i="9" s="1"/>
  <c r="N54" i="9" s="1"/>
  <c r="D20" i="9"/>
  <c r="D52" i="9" s="1"/>
  <c r="D18" i="9"/>
  <c r="D50" i="9" s="1"/>
  <c r="D16" i="9"/>
  <c r="D48" i="9" s="1"/>
  <c r="D14" i="9"/>
  <c r="D46" i="9" s="1"/>
  <c r="D12" i="9"/>
  <c r="D44" i="9" s="1"/>
  <c r="D10" i="9"/>
  <c r="D42" i="9" s="1"/>
  <c r="I42" i="9" s="1"/>
  <c r="N42" i="9" s="1"/>
  <c r="S42" i="9" s="1"/>
  <c r="D8" i="9"/>
  <c r="D40" i="9" s="1"/>
  <c r="D6" i="9"/>
  <c r="D38" i="9" s="1"/>
  <c r="CR26" i="3"/>
  <c r="CX26" i="3" s="1"/>
  <c r="CR24" i="3"/>
  <c r="CX24" i="3" s="1"/>
  <c r="CR22" i="3"/>
  <c r="CR20" i="3"/>
  <c r="CR18" i="3"/>
  <c r="CR16" i="3"/>
  <c r="CR14" i="3"/>
  <c r="CX14" i="3" s="1"/>
  <c r="CR12" i="3"/>
  <c r="CR10" i="3"/>
  <c r="CR8" i="3"/>
  <c r="CG26" i="3"/>
  <c r="CG24" i="3"/>
  <c r="CG22" i="3"/>
  <c r="CG20" i="3"/>
  <c r="CG18" i="3"/>
  <c r="CG16" i="3"/>
  <c r="CG14" i="3"/>
  <c r="CG12" i="3"/>
  <c r="CG10" i="3"/>
  <c r="CG8" i="3"/>
  <c r="CF26" i="3"/>
  <c r="CF24" i="3"/>
  <c r="CF22" i="3"/>
  <c r="CF20" i="3"/>
  <c r="CF18" i="3"/>
  <c r="CF16" i="3"/>
  <c r="CF14" i="3"/>
  <c r="CF12" i="3"/>
  <c r="CF10" i="3"/>
  <c r="CF8" i="3"/>
  <c r="CE26" i="3"/>
  <c r="CK26" i="3" s="1"/>
  <c r="CE24" i="3"/>
  <c r="CK24" i="3" s="1"/>
  <c r="CE22" i="3"/>
  <c r="CE20" i="3"/>
  <c r="CE18" i="3"/>
  <c r="CE16" i="3"/>
  <c r="CE14" i="3"/>
  <c r="CE12" i="3"/>
  <c r="CE10" i="3"/>
  <c r="CE8" i="3"/>
  <c r="BT26" i="3"/>
  <c r="BT24" i="3"/>
  <c r="BT22" i="3"/>
  <c r="BT20" i="3"/>
  <c r="BT18" i="3"/>
  <c r="BT16" i="3"/>
  <c r="BT14" i="3"/>
  <c r="BT12" i="3"/>
  <c r="BT10" i="3"/>
  <c r="BT8" i="3"/>
  <c r="BS26" i="3"/>
  <c r="BS24" i="3"/>
  <c r="BS22" i="3"/>
  <c r="BS20" i="3"/>
  <c r="BS18" i="3"/>
  <c r="BS16" i="3"/>
  <c r="BS14" i="3"/>
  <c r="BS12" i="3"/>
  <c r="BS10" i="3"/>
  <c r="BS8" i="3"/>
  <c r="BR26" i="3"/>
  <c r="BR24" i="3"/>
  <c r="BX24" i="3" s="1"/>
  <c r="BR22" i="3"/>
  <c r="BR20" i="3"/>
  <c r="BR18" i="3"/>
  <c r="BR16" i="3"/>
  <c r="BX16" i="3" s="1"/>
  <c r="BR14" i="3"/>
  <c r="BR12" i="3"/>
  <c r="BR10" i="3"/>
  <c r="BR8" i="3"/>
  <c r="BG26" i="3"/>
  <c r="BG24" i="3"/>
  <c r="BG22" i="3"/>
  <c r="BG20" i="3"/>
  <c r="BG18" i="3"/>
  <c r="BG16" i="3"/>
  <c r="BG14" i="3"/>
  <c r="BG12" i="3"/>
  <c r="BG10" i="3"/>
  <c r="BG8" i="3"/>
  <c r="BF26" i="3"/>
  <c r="BF24" i="3"/>
  <c r="BF22" i="3"/>
  <c r="BF20" i="3"/>
  <c r="BF18" i="3"/>
  <c r="BF16" i="3"/>
  <c r="BF14" i="3"/>
  <c r="BF12" i="3"/>
  <c r="BF10" i="3"/>
  <c r="BF8" i="3"/>
  <c r="BE26" i="3"/>
  <c r="BE24" i="3"/>
  <c r="BE22" i="3"/>
  <c r="BE20" i="3"/>
  <c r="BE18" i="3"/>
  <c r="BK18" i="3" s="1"/>
  <c r="BE16" i="3"/>
  <c r="BK16" i="3" s="1"/>
  <c r="BE14" i="3"/>
  <c r="BE12" i="3"/>
  <c r="BK12" i="3" s="1"/>
  <c r="BE10" i="3"/>
  <c r="BE8" i="3"/>
  <c r="AT26" i="3"/>
  <c r="AT24" i="3"/>
  <c r="AT22" i="3"/>
  <c r="AT20" i="3"/>
  <c r="AT18" i="3"/>
  <c r="AT16" i="3"/>
  <c r="AT14" i="3"/>
  <c r="AT12" i="3"/>
  <c r="AT10" i="3"/>
  <c r="AT8" i="3"/>
  <c r="AS26" i="3"/>
  <c r="AS24" i="3"/>
  <c r="AS22" i="3"/>
  <c r="AS20" i="3"/>
  <c r="AS18" i="3"/>
  <c r="AS16" i="3"/>
  <c r="AS14" i="3"/>
  <c r="AS12" i="3"/>
  <c r="AS10" i="3"/>
  <c r="AS8" i="3"/>
  <c r="AR26" i="3"/>
  <c r="AR24" i="3"/>
  <c r="AR22" i="3"/>
  <c r="AX22" i="3" s="1"/>
  <c r="AR20" i="3"/>
  <c r="AX20" i="3" s="1"/>
  <c r="AR18" i="3"/>
  <c r="AR16" i="3"/>
  <c r="AR14" i="3"/>
  <c r="AX14" i="3" s="1"/>
  <c r="AR12" i="3"/>
  <c r="AR10" i="3"/>
  <c r="AR8" i="3"/>
  <c r="AG26" i="3"/>
  <c r="AG24" i="3"/>
  <c r="AG22" i="3"/>
  <c r="AG20" i="3"/>
  <c r="AG18" i="3"/>
  <c r="AG16" i="3"/>
  <c r="AG14" i="3"/>
  <c r="AG12" i="3"/>
  <c r="AG10" i="3"/>
  <c r="AG8" i="3"/>
  <c r="AF26" i="3"/>
  <c r="AF24" i="3"/>
  <c r="AF22" i="3"/>
  <c r="AF20" i="3"/>
  <c r="AF18" i="3"/>
  <c r="AF16" i="3"/>
  <c r="AF14" i="3"/>
  <c r="AF12" i="3"/>
  <c r="AF10" i="3"/>
  <c r="AF8" i="3"/>
  <c r="AE26" i="3"/>
  <c r="AK26" i="3" s="1"/>
  <c r="AE24" i="3"/>
  <c r="AK24" i="3" s="1"/>
  <c r="AE22" i="3"/>
  <c r="AE20" i="3"/>
  <c r="AK20" i="3" s="1"/>
  <c r="AE18" i="3"/>
  <c r="AK18" i="3" s="1"/>
  <c r="AE16" i="3"/>
  <c r="AE14" i="3"/>
  <c r="AE12" i="3"/>
  <c r="AE10" i="3"/>
  <c r="AK10" i="3" s="1"/>
  <c r="AE8" i="3"/>
  <c r="T26" i="3"/>
  <c r="T24" i="3"/>
  <c r="T22" i="3"/>
  <c r="T20" i="3"/>
  <c r="T18" i="3"/>
  <c r="T16" i="3"/>
  <c r="T14" i="3"/>
  <c r="T12" i="3"/>
  <c r="T10" i="3"/>
  <c r="T8" i="3"/>
  <c r="S26" i="3"/>
  <c r="S24" i="3"/>
  <c r="S22" i="3"/>
  <c r="S20" i="3"/>
  <c r="S18" i="3"/>
  <c r="S16" i="3"/>
  <c r="S14" i="3"/>
  <c r="S12" i="3"/>
  <c r="S10" i="3"/>
  <c r="S8" i="3"/>
  <c r="R26" i="3"/>
  <c r="R24" i="3"/>
  <c r="R22" i="3"/>
  <c r="R20" i="3"/>
  <c r="R18" i="3"/>
  <c r="R16" i="3"/>
  <c r="R14" i="3"/>
  <c r="R12" i="3"/>
  <c r="X12" i="3" s="1"/>
  <c r="R10" i="3"/>
  <c r="X10" i="3" s="1"/>
  <c r="R8" i="3"/>
  <c r="G26" i="3"/>
  <c r="G24" i="3"/>
  <c r="G22" i="3"/>
  <c r="G76" i="3" s="1"/>
  <c r="G20" i="3"/>
  <c r="G18" i="3"/>
  <c r="G16" i="3"/>
  <c r="G14" i="3"/>
  <c r="G12" i="3"/>
  <c r="G10" i="3"/>
  <c r="G8" i="3"/>
  <c r="F26" i="3"/>
  <c r="F24" i="3"/>
  <c r="F22" i="3"/>
  <c r="F76" i="3" s="1"/>
  <c r="F20" i="3"/>
  <c r="F18" i="3"/>
  <c r="F16" i="3"/>
  <c r="F14" i="3"/>
  <c r="F12" i="3"/>
  <c r="F10" i="3"/>
  <c r="F8" i="3"/>
  <c r="E26" i="3"/>
  <c r="K26" i="3" s="1"/>
  <c r="E24" i="3"/>
  <c r="E22" i="3"/>
  <c r="E20" i="3"/>
  <c r="K20" i="3" s="1"/>
  <c r="E18" i="3"/>
  <c r="E16" i="3"/>
  <c r="K16" i="3" s="1"/>
  <c r="E14" i="3"/>
  <c r="K14" i="3" s="1"/>
  <c r="E12" i="3"/>
  <c r="K12" i="3" s="1"/>
  <c r="E10" i="3"/>
  <c r="E8" i="3"/>
  <c r="I40" i="9" l="1"/>
  <c r="N40" i="9" s="1"/>
  <c r="I50" i="9"/>
  <c r="N50" i="9" s="1"/>
  <c r="S50" i="9" s="1"/>
  <c r="X50" i="9" s="1"/>
  <c r="AC50" i="9" s="1"/>
  <c r="AH50" i="9" s="1"/>
  <c r="AM50" i="9" s="1"/>
  <c r="AR50" i="9" s="1"/>
  <c r="AW50" i="9" s="1"/>
  <c r="BB50" i="9" s="1"/>
  <c r="BG50" i="9" s="1"/>
  <c r="I56" i="9"/>
  <c r="N56" i="9" s="1"/>
  <c r="S56" i="9" s="1"/>
  <c r="X56" i="9" s="1"/>
  <c r="AC56" i="9" s="1"/>
  <c r="AH56" i="9" s="1"/>
  <c r="AM56" i="9" s="1"/>
  <c r="AR56" i="9" s="1"/>
  <c r="AW56" i="9" s="1"/>
  <c r="BB56" i="9" s="1"/>
  <c r="BG56" i="9" s="1"/>
  <c r="J48" i="9"/>
  <c r="O48" i="9" s="1"/>
  <c r="T48" i="9" s="1"/>
  <c r="Y48" i="9" s="1"/>
  <c r="AD48" i="9" s="1"/>
  <c r="AI48" i="9" s="1"/>
  <c r="AN48" i="9" s="1"/>
  <c r="AS48" i="9" s="1"/>
  <c r="AX48" i="9" s="1"/>
  <c r="BC48" i="9" s="1"/>
  <c r="BH48" i="9" s="1"/>
  <c r="J42" i="9"/>
  <c r="O42" i="9" s="1"/>
  <c r="T42" i="9" s="1"/>
  <c r="Y42" i="9" s="1"/>
  <c r="AD42" i="9" s="1"/>
  <c r="AI42" i="9" s="1"/>
  <c r="AN42" i="9" s="1"/>
  <c r="AS42" i="9" s="1"/>
  <c r="AX42" i="9" s="1"/>
  <c r="BC42" i="9" s="1"/>
  <c r="BH42" i="9" s="1"/>
  <c r="J58" i="9"/>
  <c r="O58" i="9" s="1"/>
  <c r="T58" i="9" s="1"/>
  <c r="Y58" i="9" s="1"/>
  <c r="AD58" i="9" s="1"/>
  <c r="AI58" i="9" s="1"/>
  <c r="AN58" i="9" s="1"/>
  <c r="AS58" i="9" s="1"/>
  <c r="AX58" i="9" s="1"/>
  <c r="BC58" i="9" s="1"/>
  <c r="BH58" i="9" s="1"/>
  <c r="F38" i="3"/>
  <c r="S38" i="3"/>
  <c r="T38" i="3"/>
  <c r="CG49" i="3"/>
  <c r="EG49" i="3"/>
  <c r="BT49" i="3"/>
  <c r="CT49" i="3"/>
  <c r="ET49" i="3"/>
  <c r="AS51" i="3"/>
  <c r="ES51" i="3"/>
  <c r="S49" i="3"/>
  <c r="AR49" i="3"/>
  <c r="AX49" i="3" s="1"/>
  <c r="BG49" i="3"/>
  <c r="DG49" i="3"/>
  <c r="S76" i="3"/>
  <c r="AF76" i="3" s="1"/>
  <c r="AS76" i="3" s="1"/>
  <c r="BF76" i="3" s="1"/>
  <c r="BS76" i="3" s="1"/>
  <c r="CF76" i="3" s="1"/>
  <c r="AF49" i="3"/>
  <c r="CS51" i="3"/>
  <c r="DT49" i="3"/>
  <c r="G38" i="3"/>
  <c r="BS49" i="3"/>
  <c r="DS49" i="3"/>
  <c r="EF51" i="3"/>
  <c r="CF51" i="3"/>
  <c r="CG51" i="3"/>
  <c r="CS49" i="3"/>
  <c r="EG51" i="3"/>
  <c r="ES49" i="3"/>
  <c r="E76" i="3"/>
  <c r="AR51" i="3"/>
  <c r="BG51" i="3"/>
  <c r="DG51" i="3"/>
  <c r="T76" i="3"/>
  <c r="AG76" i="3" s="1"/>
  <c r="AT76" i="3" s="1"/>
  <c r="BG76" i="3" s="1"/>
  <c r="BT76" i="3" s="1"/>
  <c r="G49" i="3"/>
  <c r="T49" i="3"/>
  <c r="AF51" i="3"/>
  <c r="AS49" i="3"/>
  <c r="BT51" i="3"/>
  <c r="CF49" i="3"/>
  <c r="DT51" i="3"/>
  <c r="EF49" i="3"/>
  <c r="AQ76" i="3"/>
  <c r="F49" i="3"/>
  <c r="AT49" i="3"/>
  <c r="BS51" i="3"/>
  <c r="DS51" i="3"/>
  <c r="AG49" i="3"/>
  <c r="AT51" i="3"/>
  <c r="BF49" i="3"/>
  <c r="CT51" i="3"/>
  <c r="DF49" i="3"/>
  <c r="ET51" i="3"/>
  <c r="AG51" i="3"/>
  <c r="BF51" i="3"/>
  <c r="DF51" i="3"/>
  <c r="AW12" i="3"/>
  <c r="AW26" i="3"/>
  <c r="J46" i="9"/>
  <c r="O46" i="9" s="1"/>
  <c r="T46" i="9" s="1"/>
  <c r="Y46" i="9" s="1"/>
  <c r="AD46" i="9" s="1"/>
  <c r="AI46" i="9" s="1"/>
  <c r="AN46" i="9" s="1"/>
  <c r="AS46" i="9" s="1"/>
  <c r="AX46" i="9" s="1"/>
  <c r="BC46" i="9" s="1"/>
  <c r="BH46" i="9" s="1"/>
  <c r="I58" i="9"/>
  <c r="N58" i="9" s="1"/>
  <c r="S58" i="9" s="1"/>
  <c r="X58" i="9" s="1"/>
  <c r="AC58" i="9" s="1"/>
  <c r="AH58" i="9" s="1"/>
  <c r="AM58" i="9" s="1"/>
  <c r="AR58" i="9" s="1"/>
  <c r="AW58" i="9" s="1"/>
  <c r="BB58" i="9" s="1"/>
  <c r="BG58" i="9" s="1"/>
  <c r="J50" i="9"/>
  <c r="O50" i="9" s="1"/>
  <c r="T50" i="9" s="1"/>
  <c r="Y50" i="9" s="1"/>
  <c r="AD50" i="9" s="1"/>
  <c r="AI50" i="9" s="1"/>
  <c r="AN50" i="9" s="1"/>
  <c r="AS50" i="9" s="1"/>
  <c r="AX50" i="9" s="1"/>
  <c r="BC50" i="9" s="1"/>
  <c r="BH50" i="9" s="1"/>
  <c r="I38" i="9"/>
  <c r="N38" i="9" s="1"/>
  <c r="S38" i="9" s="1"/>
  <c r="AR30" i="9"/>
  <c r="D62" i="9"/>
  <c r="X30" i="9"/>
  <c r="AC30" i="9"/>
  <c r="BG30" i="9"/>
  <c r="N30" i="9"/>
  <c r="AH30" i="9"/>
  <c r="BB30" i="9"/>
  <c r="X42" i="9"/>
  <c r="AC42" i="9" s="1"/>
  <c r="AH42" i="9" s="1"/>
  <c r="AM42" i="9" s="1"/>
  <c r="AR42" i="9" s="1"/>
  <c r="AW42" i="9" s="1"/>
  <c r="BB42" i="9" s="1"/>
  <c r="BG42" i="9" s="1"/>
  <c r="J38" i="9"/>
  <c r="O38" i="9" s="1"/>
  <c r="T38" i="9" s="1"/>
  <c r="Y38" i="9" s="1"/>
  <c r="AD38" i="9" s="1"/>
  <c r="AI38" i="9" s="1"/>
  <c r="AN38" i="9" s="1"/>
  <c r="I48" i="9"/>
  <c r="N48" i="9" s="1"/>
  <c r="S48" i="9" s="1"/>
  <c r="X48" i="9" s="1"/>
  <c r="AC48" i="9" s="1"/>
  <c r="AH48" i="9" s="1"/>
  <c r="AM48" i="9" s="1"/>
  <c r="AR48" i="9" s="1"/>
  <c r="AW48" i="9" s="1"/>
  <c r="BB48" i="9" s="1"/>
  <c r="BG48" i="9" s="1"/>
  <c r="J40" i="9"/>
  <c r="O40" i="9" s="1"/>
  <c r="T40" i="9" s="1"/>
  <c r="Y40" i="9" s="1"/>
  <c r="AD40" i="9" s="1"/>
  <c r="AI40" i="9" s="1"/>
  <c r="AN40" i="9" s="1"/>
  <c r="AS40" i="9" s="1"/>
  <c r="AX40" i="9" s="1"/>
  <c r="BC40" i="9" s="1"/>
  <c r="BH40" i="9" s="1"/>
  <c r="J56" i="9"/>
  <c r="O56" i="9" s="1"/>
  <c r="T56" i="9" s="1"/>
  <c r="Y56" i="9" s="1"/>
  <c r="AD56" i="9" s="1"/>
  <c r="AI56" i="9" s="1"/>
  <c r="AN56" i="9" s="1"/>
  <c r="AS56" i="9" s="1"/>
  <c r="AX56" i="9" s="1"/>
  <c r="BC56" i="9" s="1"/>
  <c r="BH56" i="9" s="1"/>
  <c r="S54" i="9"/>
  <c r="X54" i="9" s="1"/>
  <c r="AC54" i="9" s="1"/>
  <c r="AH54" i="9" s="1"/>
  <c r="AM54" i="9" s="1"/>
  <c r="AR54" i="9" s="1"/>
  <c r="AW54" i="9" s="1"/>
  <c r="BB54" i="9" s="1"/>
  <c r="BG54" i="9" s="1"/>
  <c r="S40" i="9"/>
  <c r="X40" i="9" s="1"/>
  <c r="AC40" i="9" s="1"/>
  <c r="AH40" i="9" s="1"/>
  <c r="AM40" i="9" s="1"/>
  <c r="AR40" i="9" s="1"/>
  <c r="AW40" i="9" s="1"/>
  <c r="BB40" i="9" s="1"/>
  <c r="BG40" i="9" s="1"/>
  <c r="I60" i="9"/>
  <c r="N60" i="9" s="1"/>
  <c r="S60" i="9" s="1"/>
  <c r="X60" i="9" s="1"/>
  <c r="AC60" i="9" s="1"/>
  <c r="AH60" i="9" s="1"/>
  <c r="AM60" i="9" s="1"/>
  <c r="AR60" i="9" s="1"/>
  <c r="AW60" i="9" s="1"/>
  <c r="BB60" i="9" s="1"/>
  <c r="BG60" i="9" s="1"/>
  <c r="J54" i="9"/>
  <c r="O54" i="9" s="1"/>
  <c r="T54" i="9" s="1"/>
  <c r="Y54" i="9" s="1"/>
  <c r="AD54" i="9" s="1"/>
  <c r="AI54" i="9" s="1"/>
  <c r="AN54" i="9" s="1"/>
  <c r="AS54" i="9" s="1"/>
  <c r="AX54" i="9" s="1"/>
  <c r="BC54" i="9" s="1"/>
  <c r="BH54" i="9" s="1"/>
  <c r="I52" i="9"/>
  <c r="N52" i="9" s="1"/>
  <c r="S52" i="9" s="1"/>
  <c r="X52" i="9" s="1"/>
  <c r="AC52" i="9" s="1"/>
  <c r="AH52" i="9" s="1"/>
  <c r="AM52" i="9" s="1"/>
  <c r="AR52" i="9" s="1"/>
  <c r="AW52" i="9" s="1"/>
  <c r="BB52" i="9" s="1"/>
  <c r="BG52" i="9" s="1"/>
  <c r="J44" i="9"/>
  <c r="O44" i="9" s="1"/>
  <c r="T44" i="9" s="1"/>
  <c r="Y44" i="9" s="1"/>
  <c r="AD44" i="9" s="1"/>
  <c r="AI44" i="9" s="1"/>
  <c r="AN44" i="9" s="1"/>
  <c r="AS44" i="9" s="1"/>
  <c r="AX44" i="9" s="1"/>
  <c r="BC44" i="9" s="1"/>
  <c r="BH44" i="9" s="1"/>
  <c r="J60" i="9"/>
  <c r="O60" i="9" s="1"/>
  <c r="T60" i="9" s="1"/>
  <c r="Y60" i="9" s="1"/>
  <c r="AD60" i="9" s="1"/>
  <c r="AI60" i="9" s="1"/>
  <c r="AN60" i="9" s="1"/>
  <c r="AS60" i="9" s="1"/>
  <c r="AX60" i="9" s="1"/>
  <c r="BC60" i="9" s="1"/>
  <c r="BH60" i="9" s="1"/>
  <c r="I44" i="9"/>
  <c r="N44" i="9" s="1"/>
  <c r="S44" i="9" s="1"/>
  <c r="X44" i="9" s="1"/>
  <c r="AC44" i="9" s="1"/>
  <c r="AH44" i="9" s="1"/>
  <c r="AM44" i="9" s="1"/>
  <c r="AR44" i="9" s="1"/>
  <c r="AW44" i="9" s="1"/>
  <c r="BB44" i="9" s="1"/>
  <c r="BG44" i="9" s="1"/>
  <c r="I30" i="9"/>
  <c r="J52" i="9"/>
  <c r="O52" i="9" s="1"/>
  <c r="T52" i="9" s="1"/>
  <c r="Y52" i="9" s="1"/>
  <c r="AD52" i="9" s="1"/>
  <c r="AI52" i="9" s="1"/>
  <c r="AN52" i="9" s="1"/>
  <c r="AS52" i="9" s="1"/>
  <c r="AX52" i="9" s="1"/>
  <c r="BC52" i="9" s="1"/>
  <c r="BH52" i="9" s="1"/>
  <c r="AW30" i="9"/>
  <c r="I46" i="9"/>
  <c r="N46" i="9" s="1"/>
  <c r="S46" i="9" s="1"/>
  <c r="X46" i="9" s="1"/>
  <c r="AC46" i="9" s="1"/>
  <c r="AH46" i="9" s="1"/>
  <c r="AM46" i="9" s="1"/>
  <c r="AR46" i="9" s="1"/>
  <c r="AW46" i="9" s="1"/>
  <c r="BB46" i="9" s="1"/>
  <c r="BG46" i="9" s="1"/>
  <c r="E62" i="9"/>
  <c r="D30" i="9"/>
  <c r="AM30" i="9"/>
  <c r="S30" i="9"/>
  <c r="BJ10" i="3"/>
  <c r="AJ14" i="3"/>
  <c r="BJ12" i="3"/>
  <c r="EW45" i="3"/>
  <c r="AJ26" i="3"/>
  <c r="AW10" i="3"/>
  <c r="AJ42" i="3"/>
  <c r="J10" i="3"/>
  <c r="J24" i="3"/>
  <c r="W8" i="3"/>
  <c r="W22" i="3"/>
  <c r="AJ20" i="3"/>
  <c r="AW18" i="3"/>
  <c r="BJ16" i="3"/>
  <c r="BW14" i="3"/>
  <c r="AW8" i="3"/>
  <c r="J12" i="3"/>
  <c r="J26" i="3"/>
  <c r="W10" i="3"/>
  <c r="W24" i="3"/>
  <c r="AJ8" i="3"/>
  <c r="AJ22" i="3"/>
  <c r="AW20" i="3"/>
  <c r="BJ18" i="3"/>
  <c r="BW16" i="3"/>
  <c r="CJ14" i="3"/>
  <c r="J32" i="3"/>
  <c r="W32" i="3"/>
  <c r="W47" i="3"/>
  <c r="BW46" i="3"/>
  <c r="CJ45" i="3"/>
  <c r="DW46" i="3"/>
  <c r="EJ45" i="3"/>
  <c r="DJ45" i="3"/>
  <c r="J20" i="3"/>
  <c r="W18" i="3"/>
  <c r="AJ16" i="3"/>
  <c r="AW14" i="3"/>
  <c r="BW12" i="3"/>
  <c r="BW26" i="3"/>
  <c r="CJ10" i="3"/>
  <c r="CJ24" i="3"/>
  <c r="CJ16" i="3"/>
  <c r="BJ45" i="3"/>
  <c r="W14" i="3"/>
  <c r="W12" i="3"/>
  <c r="W26" i="3"/>
  <c r="AJ10" i="3"/>
  <c r="AJ24" i="3"/>
  <c r="AW22" i="3"/>
  <c r="BJ20" i="3"/>
  <c r="BW18" i="3"/>
  <c r="J33" i="3"/>
  <c r="W33" i="3"/>
  <c r="BJ42" i="3"/>
  <c r="BW47" i="3"/>
  <c r="J14" i="3"/>
  <c r="AJ12" i="3"/>
  <c r="AW24" i="3"/>
  <c r="BJ8" i="3"/>
  <c r="BJ22" i="3"/>
  <c r="BW20" i="3"/>
  <c r="CJ18" i="3"/>
  <c r="AX10" i="3"/>
  <c r="BW8" i="3"/>
  <c r="AW47" i="3"/>
  <c r="CJ42" i="3"/>
  <c r="CW47" i="3"/>
  <c r="EJ42" i="3"/>
  <c r="EW47" i="3"/>
  <c r="J8" i="3"/>
  <c r="J22" i="3"/>
  <c r="W20" i="3"/>
  <c r="AJ18" i="3"/>
  <c r="AW16" i="3"/>
  <c r="BJ14" i="3"/>
  <c r="BW24" i="3"/>
  <c r="CJ8" i="3"/>
  <c r="CJ22" i="3"/>
  <c r="CJ12" i="3"/>
  <c r="CJ26" i="3"/>
  <c r="AJ46" i="3"/>
  <c r="EK45" i="3"/>
  <c r="BX22" i="3"/>
  <c r="EK47" i="3"/>
  <c r="BK26" i="3"/>
  <c r="BX10" i="3"/>
  <c r="W46" i="3"/>
  <c r="BX47" i="3"/>
  <c r="J42" i="3"/>
  <c r="J16" i="3"/>
  <c r="X26" i="3"/>
  <c r="J45" i="3"/>
  <c r="AK46" i="3"/>
  <c r="AX47" i="3"/>
  <c r="CX47" i="3"/>
  <c r="EW42" i="3"/>
  <c r="X22" i="3"/>
  <c r="AK8" i="3"/>
  <c r="BX12" i="3"/>
  <c r="BK10" i="3"/>
  <c r="CX18" i="3"/>
  <c r="X46" i="3"/>
  <c r="CK8" i="3"/>
  <c r="CX20" i="3"/>
  <c r="CX22" i="3"/>
  <c r="BW42" i="3"/>
  <c r="EJ47" i="3"/>
  <c r="X16" i="3"/>
  <c r="W16" i="3"/>
  <c r="X20" i="3"/>
  <c r="BX45" i="3"/>
  <c r="CK47" i="3"/>
  <c r="X24" i="3"/>
  <c r="AK22" i="3"/>
  <c r="AX8" i="3"/>
  <c r="BK20" i="3"/>
  <c r="BJ24" i="3"/>
  <c r="BW22" i="3"/>
  <c r="CK16" i="3"/>
  <c r="CJ20" i="3"/>
  <c r="X33" i="3"/>
  <c r="AW42" i="3"/>
  <c r="BJ47" i="3"/>
  <c r="CK42" i="3"/>
  <c r="CW42" i="3"/>
  <c r="DJ47" i="3"/>
  <c r="EK42" i="3"/>
  <c r="EX47" i="3"/>
  <c r="J18" i="3"/>
  <c r="AK12" i="3"/>
  <c r="AX24" i="3"/>
  <c r="BK8" i="3"/>
  <c r="BK22" i="3"/>
  <c r="BX20" i="3"/>
  <c r="CK18" i="3"/>
  <c r="CX16" i="3"/>
  <c r="X42" i="3"/>
  <c r="AX45" i="3"/>
  <c r="AW46" i="3"/>
  <c r="CK46" i="3"/>
  <c r="CX45" i="3"/>
  <c r="CW46" i="3"/>
  <c r="EK46" i="3"/>
  <c r="EX45" i="3"/>
  <c r="EW46" i="3"/>
  <c r="K10" i="3"/>
  <c r="BK24" i="3"/>
  <c r="CK14" i="3"/>
  <c r="W42" i="3"/>
  <c r="X14" i="3"/>
  <c r="BX8" i="3"/>
  <c r="CK20" i="3"/>
  <c r="AX12" i="3"/>
  <c r="BX26" i="3"/>
  <c r="CK10" i="3"/>
  <c r="CX8" i="3"/>
  <c r="X45" i="3"/>
  <c r="BK42" i="3"/>
  <c r="CJ47" i="3"/>
  <c r="DW42" i="3"/>
  <c r="K24" i="3"/>
  <c r="X8" i="3"/>
  <c r="AX18" i="3"/>
  <c r="BX14" i="3"/>
  <c r="CX12" i="3"/>
  <c r="J46" i="3"/>
  <c r="W45" i="3"/>
  <c r="BK47" i="3"/>
  <c r="CX42" i="3"/>
  <c r="DK47" i="3"/>
  <c r="DJ42" i="3"/>
  <c r="DW47" i="3"/>
  <c r="EX42" i="3"/>
  <c r="K8" i="3"/>
  <c r="K22" i="3"/>
  <c r="AK14" i="3"/>
  <c r="AX16" i="3"/>
  <c r="BW10" i="3"/>
  <c r="BX18" i="3"/>
  <c r="K18" i="3"/>
  <c r="CK22" i="3"/>
  <c r="AX26" i="3"/>
  <c r="X18" i="3"/>
  <c r="AK16" i="3"/>
  <c r="AJ45" i="3"/>
  <c r="DK42" i="3"/>
  <c r="BK14" i="3"/>
  <c r="CX10" i="3"/>
  <c r="BK46" i="3"/>
  <c r="DK46" i="3"/>
  <c r="K32" i="3"/>
  <c r="J47" i="3"/>
  <c r="AK42" i="3"/>
  <c r="AX46" i="3"/>
  <c r="AW44" i="3"/>
  <c r="BK45" i="3"/>
  <c r="BJ46" i="3"/>
  <c r="BW45" i="3"/>
  <c r="CX46" i="3"/>
  <c r="DK45" i="3"/>
  <c r="DJ46" i="3"/>
  <c r="DW45" i="3"/>
  <c r="BJ26" i="3"/>
  <c r="CK12" i="3"/>
  <c r="AX42" i="3"/>
  <c r="AJ47" i="3"/>
  <c r="AW45" i="3"/>
  <c r="CK45" i="3"/>
  <c r="CJ46" i="3"/>
  <c r="CW45" i="3"/>
  <c r="EJ46" i="3"/>
  <c r="AH18" i="3"/>
  <c r="AM18" i="3" s="1"/>
  <c r="BH14" i="3"/>
  <c r="BM14" i="3" s="1"/>
  <c r="AU16" i="3"/>
  <c r="AZ16" i="3" s="1"/>
  <c r="BH8" i="3"/>
  <c r="BI8" i="3" s="1"/>
  <c r="BH22" i="3"/>
  <c r="BI22" i="3" s="1"/>
  <c r="CH18" i="3"/>
  <c r="CM18" i="3" s="1"/>
  <c r="BH10" i="3"/>
  <c r="BM10" i="3" s="1"/>
  <c r="BH24" i="3"/>
  <c r="BM24" i="3" s="1"/>
  <c r="BU8" i="3"/>
  <c r="BZ8" i="3" s="1"/>
  <c r="BU22" i="3"/>
  <c r="BZ22" i="3" s="1"/>
  <c r="U26" i="3"/>
  <c r="Z26" i="3" s="1"/>
  <c r="AU8" i="3"/>
  <c r="AY8" i="3" s="1"/>
  <c r="H14" i="3"/>
  <c r="AH12" i="3"/>
  <c r="AM12" i="3" s="1"/>
  <c r="AH26" i="3"/>
  <c r="AM26" i="3" s="1"/>
  <c r="BU20" i="3"/>
  <c r="BZ20" i="3" s="1"/>
  <c r="H16" i="3"/>
  <c r="M16" i="3" s="1"/>
  <c r="U14" i="3"/>
  <c r="Z14" i="3" s="1"/>
  <c r="AU12" i="3"/>
  <c r="AZ12" i="3" s="1"/>
  <c r="AU26" i="3"/>
  <c r="AZ26" i="3" s="1"/>
  <c r="BU18" i="3"/>
  <c r="BY18" i="3" s="1"/>
  <c r="H8" i="3"/>
  <c r="L8" i="3" s="1"/>
  <c r="H22" i="3"/>
  <c r="M22" i="3" s="1"/>
  <c r="U20" i="3"/>
  <c r="Y20" i="3" s="1"/>
  <c r="BU10" i="3"/>
  <c r="BZ10" i="3" s="1"/>
  <c r="BU24" i="3"/>
  <c r="BZ24" i="3" s="1"/>
  <c r="CH8" i="3"/>
  <c r="CM8" i="3" s="1"/>
  <c r="CH22" i="3"/>
  <c r="CM22" i="3" s="1"/>
  <c r="AU22" i="3"/>
  <c r="AZ22" i="3" s="1"/>
  <c r="U12" i="3"/>
  <c r="Z12" i="3" s="1"/>
  <c r="BU14" i="3"/>
  <c r="BZ14" i="3" s="1"/>
  <c r="H10" i="3"/>
  <c r="L10" i="3" s="1"/>
  <c r="H24" i="3"/>
  <c r="L24" i="3" s="1"/>
  <c r="U8" i="3"/>
  <c r="Z8" i="3" s="1"/>
  <c r="U22" i="3"/>
  <c r="Z22" i="3" s="1"/>
  <c r="AH20" i="3"/>
  <c r="AM20" i="3" s="1"/>
  <c r="AH14" i="3"/>
  <c r="AM14" i="3" s="1"/>
  <c r="AU18" i="3"/>
  <c r="AY18" i="3" s="1"/>
  <c r="BH16" i="3"/>
  <c r="BM16" i="3" s="1"/>
  <c r="BU12" i="3"/>
  <c r="BZ12" i="3" s="1"/>
  <c r="BU26" i="3"/>
  <c r="BZ26" i="3" s="1"/>
  <c r="H12" i="3"/>
  <c r="H26" i="3"/>
  <c r="L26" i="3" s="1"/>
  <c r="H20" i="3"/>
  <c r="M20" i="3" s="1"/>
  <c r="U10" i="3"/>
  <c r="U24" i="3"/>
  <c r="U18" i="3"/>
  <c r="AH8" i="3"/>
  <c r="AM8" i="3" s="1"/>
  <c r="AH22" i="3"/>
  <c r="AM22" i="3" s="1"/>
  <c r="AH16" i="3"/>
  <c r="AM16" i="3" s="1"/>
  <c r="AU20" i="3"/>
  <c r="AU14" i="3"/>
  <c r="AZ14" i="3" s="1"/>
  <c r="BH18" i="3"/>
  <c r="CH10" i="3"/>
  <c r="CM10" i="3" s="1"/>
  <c r="CH24" i="3"/>
  <c r="CM24" i="3" s="1"/>
  <c r="AH10" i="3"/>
  <c r="AM10" i="3" s="1"/>
  <c r="AH24" i="3"/>
  <c r="CH12" i="3"/>
  <c r="CM12" i="3" s="1"/>
  <c r="CH26" i="3"/>
  <c r="CM26" i="3" s="1"/>
  <c r="CH20" i="3"/>
  <c r="CM20" i="3" s="1"/>
  <c r="AU10" i="3"/>
  <c r="BU16" i="3"/>
  <c r="BZ16" i="3" s="1"/>
  <c r="CH14" i="3"/>
  <c r="CI14" i="3" s="1"/>
  <c r="AU24" i="3"/>
  <c r="H18" i="3"/>
  <c r="U16" i="3"/>
  <c r="Z16" i="3" s="1"/>
  <c r="BH12" i="3"/>
  <c r="BM12" i="3" s="1"/>
  <c r="BH26" i="3"/>
  <c r="BM26" i="3" s="1"/>
  <c r="BH20" i="3"/>
  <c r="CH16" i="3"/>
  <c r="CM16" i="3" s="1"/>
  <c r="ER44" i="3"/>
  <c r="ET31" i="3"/>
  <c r="ET33" i="3"/>
  <c r="ET32" i="3"/>
  <c r="ES31" i="3"/>
  <c r="ES33" i="3"/>
  <c r="ES32" i="3"/>
  <c r="ER31" i="3"/>
  <c r="ER33" i="3"/>
  <c r="ER32" i="3"/>
  <c r="ET26" i="3"/>
  <c r="ET24" i="3"/>
  <c r="ET22" i="3"/>
  <c r="ET20" i="3"/>
  <c r="ET18" i="3"/>
  <c r="ET16" i="3"/>
  <c r="ET14" i="3"/>
  <c r="ET12" i="3"/>
  <c r="ET10" i="3"/>
  <c r="ET8" i="3"/>
  <c r="ET6" i="3"/>
  <c r="ES26" i="3"/>
  <c r="ES24" i="3"/>
  <c r="ES22" i="3"/>
  <c r="ES20" i="3"/>
  <c r="ES18" i="3"/>
  <c r="ES16" i="3"/>
  <c r="ES14" i="3"/>
  <c r="ES12" i="3"/>
  <c r="ES10" i="3"/>
  <c r="ES8" i="3"/>
  <c r="ES6" i="3"/>
  <c r="ER26" i="3"/>
  <c r="ER24" i="3"/>
  <c r="ER22" i="3"/>
  <c r="ER20" i="3"/>
  <c r="ER18" i="3"/>
  <c r="ER16" i="3"/>
  <c r="ER14" i="3"/>
  <c r="ER12" i="3"/>
  <c r="ER10" i="3"/>
  <c r="ER8" i="3"/>
  <c r="ER6" i="3"/>
  <c r="EE44" i="3"/>
  <c r="EG31" i="3"/>
  <c r="EG33" i="3"/>
  <c r="EG32" i="3"/>
  <c r="EF31" i="3"/>
  <c r="EF33" i="3"/>
  <c r="EF32" i="3"/>
  <c r="EE31" i="3"/>
  <c r="EE33" i="3"/>
  <c r="EE32" i="3"/>
  <c r="EG26" i="3"/>
  <c r="EG24" i="3"/>
  <c r="EG22" i="3"/>
  <c r="EG20" i="3"/>
  <c r="EG18" i="3"/>
  <c r="EG16" i="3"/>
  <c r="EG14" i="3"/>
  <c r="EG12" i="3"/>
  <c r="EG10" i="3"/>
  <c r="EG8" i="3"/>
  <c r="EG6" i="3"/>
  <c r="EF26" i="3"/>
  <c r="EF24" i="3"/>
  <c r="EF22" i="3"/>
  <c r="EF20" i="3"/>
  <c r="EF18" i="3"/>
  <c r="EF16" i="3"/>
  <c r="EF14" i="3"/>
  <c r="EF12" i="3"/>
  <c r="EF10" i="3"/>
  <c r="EF8" i="3"/>
  <c r="EF6" i="3"/>
  <c r="EE26" i="3"/>
  <c r="EE24" i="3"/>
  <c r="EE22" i="3"/>
  <c r="EE20" i="3"/>
  <c r="EE18" i="3"/>
  <c r="EE16" i="3"/>
  <c r="EE14" i="3"/>
  <c r="EE12" i="3"/>
  <c r="EE10" i="3"/>
  <c r="EE8" i="3"/>
  <c r="EE6" i="3"/>
  <c r="DR44" i="3"/>
  <c r="DT31" i="3"/>
  <c r="DT33" i="3"/>
  <c r="DT32" i="3"/>
  <c r="DS31" i="3"/>
  <c r="DS33" i="3"/>
  <c r="DS32" i="3"/>
  <c r="DR31" i="3"/>
  <c r="DR33" i="3"/>
  <c r="DR32" i="3"/>
  <c r="DT26" i="3"/>
  <c r="DT24" i="3"/>
  <c r="DT22" i="3"/>
  <c r="DT20" i="3"/>
  <c r="DT18" i="3"/>
  <c r="DT16" i="3"/>
  <c r="DT14" i="3"/>
  <c r="DT12" i="3"/>
  <c r="DT10" i="3"/>
  <c r="DT8" i="3"/>
  <c r="DT6" i="3"/>
  <c r="DS26" i="3"/>
  <c r="DS24" i="3"/>
  <c r="DS22" i="3"/>
  <c r="DS20" i="3"/>
  <c r="DS18" i="3"/>
  <c r="DS16" i="3"/>
  <c r="DS14" i="3"/>
  <c r="DS12" i="3"/>
  <c r="DS10" i="3"/>
  <c r="DS8" i="3"/>
  <c r="DS6" i="3"/>
  <c r="DR26" i="3"/>
  <c r="DR24" i="3"/>
  <c r="DR22" i="3"/>
  <c r="DR20" i="3"/>
  <c r="DR18" i="3"/>
  <c r="DR16" i="3"/>
  <c r="DR14" i="3"/>
  <c r="DR12" i="3"/>
  <c r="DR10" i="3"/>
  <c r="DR8" i="3"/>
  <c r="DR6" i="3"/>
  <c r="DG31" i="3"/>
  <c r="DG33" i="3"/>
  <c r="DG32" i="3"/>
  <c r="DF31" i="3"/>
  <c r="DF33" i="3"/>
  <c r="DF32" i="3"/>
  <c r="DE44" i="3"/>
  <c r="DE31" i="3"/>
  <c r="DE33" i="3"/>
  <c r="DE32" i="3"/>
  <c r="DG26" i="3"/>
  <c r="DG24" i="3"/>
  <c r="DG22" i="3"/>
  <c r="DG20" i="3"/>
  <c r="DG18" i="3"/>
  <c r="DG16" i="3"/>
  <c r="DG14" i="3"/>
  <c r="DG12" i="3"/>
  <c r="DG10" i="3"/>
  <c r="DG8" i="3"/>
  <c r="DG6" i="3"/>
  <c r="DF26" i="3"/>
  <c r="DF24" i="3"/>
  <c r="DF22" i="3"/>
  <c r="DF20" i="3"/>
  <c r="DF18" i="3"/>
  <c r="DF16" i="3"/>
  <c r="DF14" i="3"/>
  <c r="DF12" i="3"/>
  <c r="DF10" i="3"/>
  <c r="DF8" i="3"/>
  <c r="DF6" i="3"/>
  <c r="DE26" i="3"/>
  <c r="DE24" i="3"/>
  <c r="DE22" i="3"/>
  <c r="DE20" i="3"/>
  <c r="DE18" i="3"/>
  <c r="DE16" i="3"/>
  <c r="DE14" i="3"/>
  <c r="DE12" i="3"/>
  <c r="DE10" i="3"/>
  <c r="DE8" i="3"/>
  <c r="DE6" i="3"/>
  <c r="CT26" i="3"/>
  <c r="CW26" i="3" s="1"/>
  <c r="CT24" i="3"/>
  <c r="CW24" i="3" s="1"/>
  <c r="CT22" i="3"/>
  <c r="CT20" i="3"/>
  <c r="CW20" i="3" s="1"/>
  <c r="CT18" i="3"/>
  <c r="CW18" i="3" s="1"/>
  <c r="CT16" i="3"/>
  <c r="CW16" i="3" s="1"/>
  <c r="CT14" i="3"/>
  <c r="CW14" i="3" s="1"/>
  <c r="CT12" i="3"/>
  <c r="CW12" i="3" s="1"/>
  <c r="CT10" i="3"/>
  <c r="CW10" i="3" s="1"/>
  <c r="CT8" i="3"/>
  <c r="CW8" i="3" s="1"/>
  <c r="CT6" i="3"/>
  <c r="CS26" i="3"/>
  <c r="CS24" i="3"/>
  <c r="CS22" i="3"/>
  <c r="CS20" i="3"/>
  <c r="CS18" i="3"/>
  <c r="CS16" i="3"/>
  <c r="CS14" i="3"/>
  <c r="CS12" i="3"/>
  <c r="CS10" i="3"/>
  <c r="CS8" i="3"/>
  <c r="CS6" i="3"/>
  <c r="CR6" i="3"/>
  <c r="CR44" i="3"/>
  <c r="CR31" i="3"/>
  <c r="CR33" i="3"/>
  <c r="CR32" i="3"/>
  <c r="CE44" i="3"/>
  <c r="CE31" i="3"/>
  <c r="CE33" i="3"/>
  <c r="CE32" i="3"/>
  <c r="CG6" i="3"/>
  <c r="CF6" i="3"/>
  <c r="CE6" i="3"/>
  <c r="BR44" i="3"/>
  <c r="BT31" i="3"/>
  <c r="BT33" i="3"/>
  <c r="BT32" i="3"/>
  <c r="BS31" i="3"/>
  <c r="BS33" i="3"/>
  <c r="BS32" i="3"/>
  <c r="BR31" i="3"/>
  <c r="BR33" i="3"/>
  <c r="BR32" i="3"/>
  <c r="BT6" i="3"/>
  <c r="BS6" i="3"/>
  <c r="BR6" i="3"/>
  <c r="BE44" i="3"/>
  <c r="BE51" i="3" s="1"/>
  <c r="BG31" i="3"/>
  <c r="BG33" i="3"/>
  <c r="BG32" i="3"/>
  <c r="BF31" i="3"/>
  <c r="BF33" i="3"/>
  <c r="BF32" i="3"/>
  <c r="BE31" i="3"/>
  <c r="BE33" i="3"/>
  <c r="BE32" i="3"/>
  <c r="BG6" i="3"/>
  <c r="BF6" i="3"/>
  <c r="BE6" i="3"/>
  <c r="AT31" i="3"/>
  <c r="AT33" i="3"/>
  <c r="AT32" i="3"/>
  <c r="AS31" i="3"/>
  <c r="AS33" i="3"/>
  <c r="AS32" i="3"/>
  <c r="AR31" i="3"/>
  <c r="AR33" i="3"/>
  <c r="AR32" i="3"/>
  <c r="AT6" i="3"/>
  <c r="AS6" i="3"/>
  <c r="AR6" i="3"/>
  <c r="AG31" i="3"/>
  <c r="AG33" i="3"/>
  <c r="AG32" i="3"/>
  <c r="AG6" i="3"/>
  <c r="AE44" i="3"/>
  <c r="AF31" i="3"/>
  <c r="AF33" i="3"/>
  <c r="AF32" i="3"/>
  <c r="AE31" i="3"/>
  <c r="AE33" i="3"/>
  <c r="AE32" i="3"/>
  <c r="AF6" i="3"/>
  <c r="AE6" i="3"/>
  <c r="R44" i="3"/>
  <c r="R31" i="3"/>
  <c r="T6" i="3"/>
  <c r="S6" i="3"/>
  <c r="R6" i="3"/>
  <c r="AS38" i="9" l="1"/>
  <c r="AN62" i="9"/>
  <c r="AU6" i="3"/>
  <c r="CI22" i="3"/>
  <c r="BV22" i="3"/>
  <c r="I22" i="3"/>
  <c r="AV22" i="3"/>
  <c r="V22" i="3"/>
  <c r="AW49" i="3"/>
  <c r="V8" i="3"/>
  <c r="AS38" i="3"/>
  <c r="DE38" i="3"/>
  <c r="ET38" i="3"/>
  <c r="CG76" i="3"/>
  <c r="CT76" i="3" s="1"/>
  <c r="CS76" i="3"/>
  <c r="BD76" i="3"/>
  <c r="BQ76" i="3" s="1"/>
  <c r="CD76" i="3" s="1"/>
  <c r="CQ76" i="3" s="1"/>
  <c r="R76" i="3"/>
  <c r="H76" i="3"/>
  <c r="AE38" i="3"/>
  <c r="AG38" i="3"/>
  <c r="BG38" i="3"/>
  <c r="CW22" i="3"/>
  <c r="EF38" i="3"/>
  <c r="BS38" i="3"/>
  <c r="EW44" i="3"/>
  <c r="ER51" i="3"/>
  <c r="ER49" i="3"/>
  <c r="AF38" i="3"/>
  <c r="ER38" i="3"/>
  <c r="CW31" i="3"/>
  <c r="CR38" i="3"/>
  <c r="DG38" i="3"/>
  <c r="DJ44" i="3"/>
  <c r="DE49" i="3"/>
  <c r="EE38" i="3"/>
  <c r="BJ44" i="3"/>
  <c r="BE49" i="3"/>
  <c r="CW44" i="3"/>
  <c r="CR51" i="3"/>
  <c r="CR49" i="3"/>
  <c r="W31" i="3"/>
  <c r="R38" i="3"/>
  <c r="DE51" i="3"/>
  <c r="W44" i="3"/>
  <c r="R49" i="3"/>
  <c r="AJ44" i="3"/>
  <c r="AE49" i="3"/>
  <c r="AE51" i="3"/>
  <c r="CJ31" i="3"/>
  <c r="CE38" i="3"/>
  <c r="BT38" i="3"/>
  <c r="DT38" i="3"/>
  <c r="BW44" i="3"/>
  <c r="BR51" i="3"/>
  <c r="BR49" i="3"/>
  <c r="DW44" i="3"/>
  <c r="DR51" i="3"/>
  <c r="DR49" i="3"/>
  <c r="ES38" i="3"/>
  <c r="BE38" i="3"/>
  <c r="DS38" i="3"/>
  <c r="EG38" i="3"/>
  <c r="AT38" i="3"/>
  <c r="EJ44" i="3"/>
  <c r="EE51" i="3"/>
  <c r="EE49" i="3"/>
  <c r="BF38" i="3"/>
  <c r="CJ44" i="3"/>
  <c r="CE51" i="3"/>
  <c r="CE49" i="3"/>
  <c r="DF38" i="3"/>
  <c r="AR38" i="3"/>
  <c r="BR38" i="3"/>
  <c r="DR38" i="3"/>
  <c r="X38" i="9"/>
  <c r="S62" i="9"/>
  <c r="I62" i="9"/>
  <c r="N62" i="9"/>
  <c r="DJ32" i="3"/>
  <c r="BV8" i="3"/>
  <c r="EJ33" i="3"/>
  <c r="EJ32" i="3"/>
  <c r="EW31" i="3"/>
  <c r="BY26" i="3"/>
  <c r="BV10" i="3"/>
  <c r="V14" i="3"/>
  <c r="W6" i="3"/>
  <c r="L22" i="3"/>
  <c r="BW33" i="3"/>
  <c r="DW33" i="3"/>
  <c r="BL16" i="3"/>
  <c r="BV12" i="3"/>
  <c r="BW31" i="3"/>
  <c r="DW31" i="3"/>
  <c r="AY12" i="3"/>
  <c r="BV16" i="3"/>
  <c r="CJ6" i="3"/>
  <c r="L16" i="3"/>
  <c r="BV24" i="3"/>
  <c r="BI16" i="3"/>
  <c r="AL10" i="3"/>
  <c r="AV16" i="3"/>
  <c r="DJ16" i="3"/>
  <c r="BJ32" i="3"/>
  <c r="BL14" i="3"/>
  <c r="CL10" i="3"/>
  <c r="CL20" i="3"/>
  <c r="Y22" i="3"/>
  <c r="AV12" i="3"/>
  <c r="V16" i="3"/>
  <c r="AJ33" i="3"/>
  <c r="DJ33" i="3"/>
  <c r="V26" i="3"/>
  <c r="BY14" i="3"/>
  <c r="BY8" i="3"/>
  <c r="Y12" i="3"/>
  <c r="BY20" i="3"/>
  <c r="BY16" i="3"/>
  <c r="CI10" i="3"/>
  <c r="BW32" i="3"/>
  <c r="DW10" i="3"/>
  <c r="DW32" i="3"/>
  <c r="EJ31" i="3"/>
  <c r="BL24" i="3"/>
  <c r="V12" i="3"/>
  <c r="BL12" i="3"/>
  <c r="Y16" i="3"/>
  <c r="AV14" i="3"/>
  <c r="DW6" i="3"/>
  <c r="DJ18" i="3"/>
  <c r="DW8" i="3"/>
  <c r="EK12" i="3"/>
  <c r="EJ12" i="3"/>
  <c r="AZ24" i="3"/>
  <c r="AV24" i="3"/>
  <c r="CK33" i="3"/>
  <c r="CJ33" i="3"/>
  <c r="DJ20" i="3"/>
  <c r="EK32" i="3"/>
  <c r="AM24" i="3"/>
  <c r="AL24" i="3"/>
  <c r="BL22" i="3"/>
  <c r="BM22" i="3"/>
  <c r="AL12" i="3"/>
  <c r="DK8" i="3"/>
  <c r="EK14" i="3"/>
  <c r="EX18" i="3"/>
  <c r="BM20" i="3"/>
  <c r="BI20" i="3"/>
  <c r="CL26" i="3"/>
  <c r="DK26" i="3"/>
  <c r="DJ26" i="3"/>
  <c r="BJ33" i="3"/>
  <c r="CW33" i="3"/>
  <c r="CX33" i="3"/>
  <c r="CW6" i="3"/>
  <c r="EJ20" i="3"/>
  <c r="EW32" i="3"/>
  <c r="AZ10" i="3"/>
  <c r="AY10" i="3"/>
  <c r="CI8" i="3"/>
  <c r="CL8" i="3"/>
  <c r="BI12" i="3"/>
  <c r="Y26" i="3"/>
  <c r="BL26" i="3"/>
  <c r="BK33" i="3"/>
  <c r="DK16" i="3"/>
  <c r="DX20" i="3"/>
  <c r="DW20" i="3"/>
  <c r="EK10" i="3"/>
  <c r="EK24" i="3"/>
  <c r="EJ10" i="3"/>
  <c r="EJ24" i="3"/>
  <c r="EX32" i="3"/>
  <c r="M18" i="3"/>
  <c r="I18" i="3"/>
  <c r="Z10" i="3"/>
  <c r="V10" i="3"/>
  <c r="DX22" i="3"/>
  <c r="DW22" i="3"/>
  <c r="EK26" i="3"/>
  <c r="EJ26" i="3"/>
  <c r="EX14" i="3"/>
  <c r="EW14" i="3"/>
  <c r="BL10" i="3"/>
  <c r="DJ6" i="3"/>
  <c r="DX10" i="3"/>
  <c r="DX24" i="3"/>
  <c r="DW24" i="3"/>
  <c r="EX16" i="3"/>
  <c r="EW16" i="3"/>
  <c r="AV20" i="3"/>
  <c r="AZ20" i="3"/>
  <c r="L14" i="3"/>
  <c r="M14" i="3"/>
  <c r="I14" i="3"/>
  <c r="CL16" i="3"/>
  <c r="I20" i="3"/>
  <c r="BI10" i="3"/>
  <c r="DJ8" i="3"/>
  <c r="DX26" i="3"/>
  <c r="EK33" i="3"/>
  <c r="CM14" i="3"/>
  <c r="CL14" i="3"/>
  <c r="L12" i="3"/>
  <c r="M12" i="3"/>
  <c r="AZ8" i="3"/>
  <c r="AV8" i="3"/>
  <c r="AY20" i="3"/>
  <c r="AJ6" i="3"/>
  <c r="BX32" i="3"/>
  <c r="AJ32" i="3"/>
  <c r="BX33" i="3"/>
  <c r="CW32" i="3"/>
  <c r="CX32" i="3"/>
  <c r="DK12" i="3"/>
  <c r="DJ12" i="3"/>
  <c r="BJ6" i="3"/>
  <c r="DX16" i="3"/>
  <c r="DW16" i="3"/>
  <c r="EK20" i="3"/>
  <c r="EJ6" i="3"/>
  <c r="EX10" i="3"/>
  <c r="EX24" i="3"/>
  <c r="EW10" i="3"/>
  <c r="EW24" i="3"/>
  <c r="Z18" i="3"/>
  <c r="V18" i="3"/>
  <c r="AJ31" i="3"/>
  <c r="BK32" i="3"/>
  <c r="BJ31" i="3"/>
  <c r="DK14" i="3"/>
  <c r="DJ14" i="3"/>
  <c r="DJ31" i="3"/>
  <c r="DX18" i="3"/>
  <c r="DW18" i="3"/>
  <c r="EK8" i="3"/>
  <c r="EK22" i="3"/>
  <c r="EJ8" i="3"/>
  <c r="EJ22" i="3"/>
  <c r="EX12" i="3"/>
  <c r="EX26" i="3"/>
  <c r="EW12" i="3"/>
  <c r="EW26" i="3"/>
  <c r="EW33" i="3"/>
  <c r="Z24" i="3"/>
  <c r="V24" i="3"/>
  <c r="AZ18" i="3"/>
  <c r="AV18" i="3"/>
  <c r="I8" i="3"/>
  <c r="M8" i="3"/>
  <c r="Y10" i="3"/>
  <c r="BV26" i="3"/>
  <c r="Y18" i="3"/>
  <c r="BV14" i="3"/>
  <c r="Y8" i="3"/>
  <c r="CI20" i="3"/>
  <c r="CI16" i="3"/>
  <c r="BV20" i="3"/>
  <c r="AV10" i="3"/>
  <c r="AY22" i="3"/>
  <c r="Y24" i="3"/>
  <c r="CI12" i="3"/>
  <c r="AY14" i="3"/>
  <c r="BY22" i="3"/>
  <c r="BI26" i="3"/>
  <c r="BI24" i="3"/>
  <c r="BY12" i="3"/>
  <c r="BM18" i="3"/>
  <c r="BI18" i="3"/>
  <c r="AL26" i="3"/>
  <c r="AL14" i="3"/>
  <c r="CJ32" i="3"/>
  <c r="CK32" i="3"/>
  <c r="DK18" i="3"/>
  <c r="DX8" i="3"/>
  <c r="EX33" i="3"/>
  <c r="BZ18" i="3"/>
  <c r="BV18" i="3"/>
  <c r="AW6" i="3"/>
  <c r="DK20" i="3"/>
  <c r="M26" i="3"/>
  <c r="I26" i="3"/>
  <c r="CI18" i="3"/>
  <c r="DK22" i="3"/>
  <c r="DX12" i="3"/>
  <c r="DW26" i="3"/>
  <c r="EJ14" i="3"/>
  <c r="BM8" i="3"/>
  <c r="BL8" i="3"/>
  <c r="DK10" i="3"/>
  <c r="DK24" i="3"/>
  <c r="DJ10" i="3"/>
  <c r="DJ24" i="3"/>
  <c r="EK16" i="3"/>
  <c r="EJ16" i="3"/>
  <c r="EX20" i="3"/>
  <c r="EW6" i="3"/>
  <c r="EW20" i="3"/>
  <c r="M24" i="3"/>
  <c r="I24" i="3"/>
  <c r="CL22" i="3"/>
  <c r="CI26" i="3"/>
  <c r="AY26" i="3"/>
  <c r="BY24" i="3"/>
  <c r="Y14" i="3"/>
  <c r="I16" i="3"/>
  <c r="CL18" i="3"/>
  <c r="CL24" i="3"/>
  <c r="AV26" i="3"/>
  <c r="AL18" i="3"/>
  <c r="AY16" i="3"/>
  <c r="AL8" i="3"/>
  <c r="BW6" i="3"/>
  <c r="DJ22" i="3"/>
  <c r="DW12" i="3"/>
  <c r="EW18" i="3"/>
  <c r="BL18" i="3"/>
  <c r="DX14" i="3"/>
  <c r="DW14" i="3"/>
  <c r="EK18" i="3"/>
  <c r="EJ18" i="3"/>
  <c r="EX8" i="3"/>
  <c r="EX22" i="3"/>
  <c r="EW8" i="3"/>
  <c r="EW22" i="3"/>
  <c r="I10" i="3"/>
  <c r="M10" i="3"/>
  <c r="Z20" i="3"/>
  <c r="V20" i="3"/>
  <c r="BI14" i="3"/>
  <c r="AL16" i="3"/>
  <c r="L18" i="3"/>
  <c r="AL20" i="3"/>
  <c r="L20" i="3"/>
  <c r="AY24" i="3"/>
  <c r="BL20" i="3"/>
  <c r="AL22" i="3"/>
  <c r="CI24" i="3"/>
  <c r="BY10" i="3"/>
  <c r="CL12" i="3"/>
  <c r="I12" i="3"/>
  <c r="E44" i="3"/>
  <c r="E31" i="3"/>
  <c r="G6" i="3"/>
  <c r="F6" i="3"/>
  <c r="E6" i="3"/>
  <c r="AX38" i="9" l="1"/>
  <c r="AS62" i="9"/>
  <c r="X76" i="3"/>
  <c r="U76" i="3"/>
  <c r="Z76" i="3" s="1"/>
  <c r="AE76" i="3"/>
  <c r="W76" i="3"/>
  <c r="EW49" i="3"/>
  <c r="EX49" i="3"/>
  <c r="BW49" i="3"/>
  <c r="BX49" i="3"/>
  <c r="AK49" i="3"/>
  <c r="AJ49" i="3"/>
  <c r="X49" i="3"/>
  <c r="W49" i="3"/>
  <c r="EJ49" i="3"/>
  <c r="EK49" i="3"/>
  <c r="DW49" i="3"/>
  <c r="DJ49" i="3"/>
  <c r="DK49" i="3"/>
  <c r="CK49" i="3"/>
  <c r="CJ49" i="3"/>
  <c r="J31" i="3"/>
  <c r="E38" i="3"/>
  <c r="BJ49" i="3"/>
  <c r="BK49" i="3"/>
  <c r="J44" i="3"/>
  <c r="E49" i="3"/>
  <c r="CW49" i="3"/>
  <c r="CX49" i="3"/>
  <c r="X62" i="9"/>
  <c r="AC38" i="9"/>
  <c r="J6" i="3"/>
  <c r="CU24" i="3"/>
  <c r="EU22" i="3"/>
  <c r="EV22" i="3" s="1"/>
  <c r="EH22" i="3"/>
  <c r="EI22" i="3" s="1"/>
  <c r="DU22" i="3"/>
  <c r="DV22" i="3" s="1"/>
  <c r="DH22" i="3"/>
  <c r="CU22" i="3"/>
  <c r="DG76" i="3"/>
  <c r="DF76" i="3"/>
  <c r="DS76" i="3" s="1"/>
  <c r="EF76" i="3" s="1"/>
  <c r="ES76" i="3" s="1"/>
  <c r="DD76" i="3"/>
  <c r="DQ76" i="3" s="1"/>
  <c r="ED76" i="3" s="1"/>
  <c r="AH38" i="9" l="1"/>
  <c r="AC62" i="9"/>
  <c r="BC38" i="9"/>
  <c r="AX62" i="9"/>
  <c r="V76" i="3"/>
  <c r="Y76" i="3"/>
  <c r="DT76" i="3"/>
  <c r="AK76" i="3"/>
  <c r="AR76" i="3"/>
  <c r="AJ76" i="3"/>
  <c r="AH76" i="3"/>
  <c r="AM76" i="3" s="1"/>
  <c r="K49" i="3"/>
  <c r="J49" i="3"/>
  <c r="CZ22" i="3"/>
  <c r="CV22" i="3"/>
  <c r="CY22" i="3"/>
  <c r="DM22" i="3"/>
  <c r="DL22" i="3"/>
  <c r="DI22" i="3"/>
  <c r="DZ22" i="3"/>
  <c r="DY22" i="3"/>
  <c r="EM22" i="3"/>
  <c r="EL22" i="3"/>
  <c r="EZ22" i="3"/>
  <c r="EY22" i="3"/>
  <c r="CZ24" i="3"/>
  <c r="CV24" i="3"/>
  <c r="CY24" i="3"/>
  <c r="EQ76" i="3"/>
  <c r="EU36" i="3"/>
  <c r="EH36" i="3"/>
  <c r="DU36" i="3"/>
  <c r="DZ36" i="3" s="1"/>
  <c r="CU36" i="3"/>
  <c r="CH36" i="3"/>
  <c r="BU36" i="3"/>
  <c r="BH36" i="3"/>
  <c r="DK36" i="3"/>
  <c r="DH36" i="3"/>
  <c r="DM36" i="3" s="1"/>
  <c r="DX36" i="3"/>
  <c r="H35" i="3"/>
  <c r="H36" i="3"/>
  <c r="G90" i="3"/>
  <c r="T90" i="3" s="1"/>
  <c r="AG90" i="3" s="1"/>
  <c r="F90" i="3"/>
  <c r="S90" i="3" s="1"/>
  <c r="AF90" i="3" s="1"/>
  <c r="AS90" i="3" s="1"/>
  <c r="BF90" i="3" s="1"/>
  <c r="BS90" i="3" s="1"/>
  <c r="CF90" i="3" s="1"/>
  <c r="CS90" i="3" s="1"/>
  <c r="DF90" i="3" s="1"/>
  <c r="DS90" i="3" s="1"/>
  <c r="EF90" i="3" s="1"/>
  <c r="ES90" i="3" s="1"/>
  <c r="E90" i="3"/>
  <c r="R90" i="3" s="1"/>
  <c r="D90" i="3"/>
  <c r="Q90" i="3" s="1"/>
  <c r="AD90" i="3" s="1"/>
  <c r="AX36" i="3"/>
  <c r="AW36" i="3"/>
  <c r="AW35" i="3"/>
  <c r="AW31" i="3"/>
  <c r="AW33" i="3"/>
  <c r="AW32" i="3"/>
  <c r="AW34" i="3"/>
  <c r="AU36" i="3"/>
  <c r="AZ36" i="3" s="1"/>
  <c r="AV36" i="3"/>
  <c r="AH36" i="3"/>
  <c r="AM36" i="3" s="1"/>
  <c r="AK36" i="3"/>
  <c r="U36" i="3"/>
  <c r="K90" i="3"/>
  <c r="BH30" i="9"/>
  <c r="BC30" i="9"/>
  <c r="AX30" i="9"/>
  <c r="AS30" i="9"/>
  <c r="AN30" i="9"/>
  <c r="AI30" i="9"/>
  <c r="AD30" i="9"/>
  <c r="Y30" i="9"/>
  <c r="T30" i="9"/>
  <c r="O30" i="9"/>
  <c r="J30" i="9"/>
  <c r="E30" i="9"/>
  <c r="EU31" i="3"/>
  <c r="EV31" i="3" s="1"/>
  <c r="EU6" i="3"/>
  <c r="EZ6" i="3" s="1"/>
  <c r="EH6" i="3"/>
  <c r="EM6" i="3" s="1"/>
  <c r="DH26" i="3"/>
  <c r="DH24" i="3"/>
  <c r="DH20" i="3"/>
  <c r="DH18" i="3"/>
  <c r="DH16" i="3"/>
  <c r="DH14" i="3"/>
  <c r="DH12" i="3"/>
  <c r="DH10" i="3"/>
  <c r="DH8" i="3"/>
  <c r="DH6" i="3"/>
  <c r="DM6" i="3" s="1"/>
  <c r="BF28" i="3"/>
  <c r="AS28" i="3"/>
  <c r="AF28" i="3"/>
  <c r="S51" i="3"/>
  <c r="S28" i="3"/>
  <c r="F51" i="3"/>
  <c r="F28" i="3"/>
  <c r="EU47" i="3"/>
  <c r="EV47" i="3" s="1"/>
  <c r="EU46" i="3"/>
  <c r="EV46" i="3" s="1"/>
  <c r="EU45" i="3"/>
  <c r="EV45" i="3" s="1"/>
  <c r="EU44" i="3"/>
  <c r="EV44" i="3" s="1"/>
  <c r="EU42" i="3"/>
  <c r="EV42" i="3" s="1"/>
  <c r="EU35" i="3"/>
  <c r="EU34" i="3"/>
  <c r="EU33" i="3"/>
  <c r="EV33" i="3" s="1"/>
  <c r="EU32" i="3"/>
  <c r="EV32" i="3" s="1"/>
  <c r="EU26" i="3"/>
  <c r="EV26" i="3" s="1"/>
  <c r="EU24" i="3"/>
  <c r="EV24" i="3" s="1"/>
  <c r="EU20" i="3"/>
  <c r="EV20" i="3" s="1"/>
  <c r="EU18" i="3"/>
  <c r="EV18" i="3" s="1"/>
  <c r="EU16" i="3"/>
  <c r="EV16" i="3" s="1"/>
  <c r="EU14" i="3"/>
  <c r="EV14" i="3" s="1"/>
  <c r="EU12" i="3"/>
  <c r="EV12" i="3" s="1"/>
  <c r="EU10" i="3"/>
  <c r="EV10" i="3" s="1"/>
  <c r="EU8" i="3"/>
  <c r="EV8" i="3" s="1"/>
  <c r="ES28" i="3"/>
  <c r="EH47" i="3"/>
  <c r="EI47" i="3" s="1"/>
  <c r="EH46" i="3"/>
  <c r="EI46" i="3" s="1"/>
  <c r="EH45" i="3"/>
  <c r="EI45" i="3" s="1"/>
  <c r="EH44" i="3"/>
  <c r="EI44" i="3" s="1"/>
  <c r="EH42" i="3"/>
  <c r="EI42" i="3" s="1"/>
  <c r="EH35" i="3"/>
  <c r="EH34" i="3"/>
  <c r="EH31" i="3"/>
  <c r="EI31" i="3" s="1"/>
  <c r="EH33" i="3"/>
  <c r="EI33" i="3" s="1"/>
  <c r="EH32" i="3"/>
  <c r="EI32" i="3" s="1"/>
  <c r="EH26" i="3"/>
  <c r="EI26" i="3" s="1"/>
  <c r="EH24" i="3"/>
  <c r="EI24" i="3" s="1"/>
  <c r="EH20" i="3"/>
  <c r="EI20" i="3" s="1"/>
  <c r="EH18" i="3"/>
  <c r="EI18" i="3" s="1"/>
  <c r="EH16" i="3"/>
  <c r="EI16" i="3" s="1"/>
  <c r="EH14" i="3"/>
  <c r="EI14" i="3" s="1"/>
  <c r="EH12" i="3"/>
  <c r="EI12" i="3" s="1"/>
  <c r="EH10" i="3"/>
  <c r="EI10" i="3" s="1"/>
  <c r="EH8" i="3"/>
  <c r="EI8" i="3" s="1"/>
  <c r="EF28" i="3"/>
  <c r="DU47" i="3"/>
  <c r="DU46" i="3"/>
  <c r="DU45" i="3"/>
  <c r="DU44" i="3"/>
  <c r="DV44" i="3" s="1"/>
  <c r="DU42" i="3"/>
  <c r="DV42" i="3" s="1"/>
  <c r="DU35" i="3"/>
  <c r="DZ35" i="3" s="1"/>
  <c r="DU34" i="3"/>
  <c r="DY34" i="3" s="1"/>
  <c r="DU31" i="3"/>
  <c r="DV31" i="3" s="1"/>
  <c r="DU33" i="3"/>
  <c r="DU32" i="3"/>
  <c r="DU26" i="3"/>
  <c r="DV26" i="3" s="1"/>
  <c r="DU24" i="3"/>
  <c r="DV24" i="3" s="1"/>
  <c r="DU20" i="3"/>
  <c r="DV20" i="3" s="1"/>
  <c r="DU18" i="3"/>
  <c r="DV18" i="3" s="1"/>
  <c r="DU16" i="3"/>
  <c r="DV16" i="3" s="1"/>
  <c r="DU14" i="3"/>
  <c r="DV14" i="3" s="1"/>
  <c r="DU12" i="3"/>
  <c r="DV12" i="3" s="1"/>
  <c r="DU10" i="3"/>
  <c r="DV10" i="3" s="1"/>
  <c r="DU8" i="3"/>
  <c r="DV8" i="3" s="1"/>
  <c r="DU6" i="3"/>
  <c r="DZ6" i="3" s="1"/>
  <c r="DS28" i="3"/>
  <c r="DH47" i="3"/>
  <c r="DH46" i="3"/>
  <c r="DH45" i="3"/>
  <c r="DH44" i="3"/>
  <c r="DH42" i="3"/>
  <c r="DH35" i="3"/>
  <c r="DM35" i="3" s="1"/>
  <c r="DH34" i="3"/>
  <c r="DM34" i="3" s="1"/>
  <c r="DH31" i="3"/>
  <c r="DH33" i="3"/>
  <c r="DH32" i="3"/>
  <c r="DF28" i="3"/>
  <c r="CU47" i="3"/>
  <c r="CU46" i="3"/>
  <c r="CU45" i="3"/>
  <c r="CU44" i="3"/>
  <c r="CU42" i="3"/>
  <c r="CU35" i="3"/>
  <c r="CU34" i="3"/>
  <c r="CU31" i="3"/>
  <c r="CU33" i="3"/>
  <c r="CU32" i="3"/>
  <c r="CU26" i="3"/>
  <c r="CU20" i="3"/>
  <c r="CU18" i="3"/>
  <c r="CU16" i="3"/>
  <c r="CU14" i="3"/>
  <c r="CU12" i="3"/>
  <c r="CU10" i="3"/>
  <c r="CU8" i="3"/>
  <c r="CU6" i="3"/>
  <c r="CZ6" i="3" s="1"/>
  <c r="CS28" i="3"/>
  <c r="CH47" i="3"/>
  <c r="CH46" i="3"/>
  <c r="CH45" i="3"/>
  <c r="CH44" i="3"/>
  <c r="CH42" i="3"/>
  <c r="CH35" i="3"/>
  <c r="CH34" i="3"/>
  <c r="CH31" i="3"/>
  <c r="CH33" i="3"/>
  <c r="CH32" i="3"/>
  <c r="CH6" i="3"/>
  <c r="CM6" i="3" s="1"/>
  <c r="CF28" i="3"/>
  <c r="F99" i="3"/>
  <c r="S99" i="3" s="1"/>
  <c r="AF99" i="3" s="1"/>
  <c r="AS99" i="3" s="1"/>
  <c r="BF99" i="3" s="1"/>
  <c r="BS99" i="3" s="1"/>
  <c r="CF99" i="3" s="1"/>
  <c r="CS99" i="3" s="1"/>
  <c r="DF99" i="3" s="1"/>
  <c r="DS99" i="3" s="1"/>
  <c r="EF99" i="3" s="1"/>
  <c r="ES99" i="3" s="1"/>
  <c r="F98" i="3"/>
  <c r="S98" i="3" s="1"/>
  <c r="AF98" i="3" s="1"/>
  <c r="F97" i="3"/>
  <c r="S97" i="3" s="1"/>
  <c r="AF97" i="3" s="1"/>
  <c r="AS97" i="3" s="1"/>
  <c r="BF97" i="3" s="1"/>
  <c r="BS97" i="3" s="1"/>
  <c r="CF97" i="3" s="1"/>
  <c r="CS97" i="3" s="1"/>
  <c r="DF97" i="3" s="1"/>
  <c r="DS97" i="3" s="1"/>
  <c r="EF97" i="3" s="1"/>
  <c r="ES97" i="3" s="1"/>
  <c r="F96" i="3"/>
  <c r="S96" i="3" s="1"/>
  <c r="F94" i="3"/>
  <c r="S94" i="3" s="1"/>
  <c r="AF94" i="3" s="1"/>
  <c r="F89" i="3"/>
  <c r="S89" i="3" s="1"/>
  <c r="AF89" i="3" s="1"/>
  <c r="AS89" i="3" s="1"/>
  <c r="BF89" i="3" s="1"/>
  <c r="BS89" i="3" s="1"/>
  <c r="CF89" i="3" s="1"/>
  <c r="CS89" i="3" s="1"/>
  <c r="DF89" i="3" s="1"/>
  <c r="DS89" i="3" s="1"/>
  <c r="EF89" i="3" s="1"/>
  <c r="ES89" i="3" s="1"/>
  <c r="F88" i="3"/>
  <c r="F85" i="3"/>
  <c r="S85" i="3" s="1"/>
  <c r="F87" i="3"/>
  <c r="S87" i="3" s="1"/>
  <c r="AF87" i="3" s="1"/>
  <c r="AS87" i="3" s="1"/>
  <c r="BF87" i="3" s="1"/>
  <c r="BS87" i="3" s="1"/>
  <c r="CF87" i="3" s="1"/>
  <c r="CS87" i="3" s="1"/>
  <c r="DF87" i="3" s="1"/>
  <c r="DS87" i="3" s="1"/>
  <c r="EF87" i="3" s="1"/>
  <c r="ES87" i="3" s="1"/>
  <c r="F86" i="3"/>
  <c r="S86" i="3" s="1"/>
  <c r="AF86" i="3" s="1"/>
  <c r="AS86" i="3" s="1"/>
  <c r="BF86" i="3" s="1"/>
  <c r="BS86" i="3" s="1"/>
  <c r="CF86" i="3" s="1"/>
  <c r="CS86" i="3" s="1"/>
  <c r="DF86" i="3" s="1"/>
  <c r="F80" i="3"/>
  <c r="S80" i="3" s="1"/>
  <c r="AF80" i="3" s="1"/>
  <c r="AS80" i="3" s="1"/>
  <c r="F78" i="3"/>
  <c r="S78" i="3" s="1"/>
  <c r="AF78" i="3" s="1"/>
  <c r="AS78" i="3" s="1"/>
  <c r="BF78" i="3" s="1"/>
  <c r="BS78" i="3" s="1"/>
  <c r="CF78" i="3" s="1"/>
  <c r="F74" i="3"/>
  <c r="S74" i="3" s="1"/>
  <c r="AF74" i="3" s="1"/>
  <c r="AS74" i="3" s="1"/>
  <c r="BF74" i="3" s="1"/>
  <c r="BS74" i="3" s="1"/>
  <c r="CF74" i="3" s="1"/>
  <c r="CS74" i="3" s="1"/>
  <c r="DF74" i="3" s="1"/>
  <c r="DS74" i="3" s="1"/>
  <c r="EF74" i="3" s="1"/>
  <c r="ES74" i="3" s="1"/>
  <c r="F72" i="3"/>
  <c r="S72" i="3" s="1"/>
  <c r="AF72" i="3" s="1"/>
  <c r="AS72" i="3" s="1"/>
  <c r="BF72" i="3" s="1"/>
  <c r="BS72" i="3" s="1"/>
  <c r="CF72" i="3" s="1"/>
  <c r="CS72" i="3" s="1"/>
  <c r="DF72" i="3" s="1"/>
  <c r="DS72" i="3" s="1"/>
  <c r="EF72" i="3" s="1"/>
  <c r="ES72" i="3" s="1"/>
  <c r="F70" i="3"/>
  <c r="S70" i="3" s="1"/>
  <c r="AF70" i="3" s="1"/>
  <c r="AS70" i="3" s="1"/>
  <c r="BF70" i="3" s="1"/>
  <c r="BS70" i="3" s="1"/>
  <c r="CF70" i="3" s="1"/>
  <c r="CS70" i="3" s="1"/>
  <c r="DF70" i="3" s="1"/>
  <c r="DS70" i="3" s="1"/>
  <c r="EF70" i="3" s="1"/>
  <c r="ES70" i="3" s="1"/>
  <c r="F68" i="3"/>
  <c r="S68" i="3" s="1"/>
  <c r="AF68" i="3" s="1"/>
  <c r="AS68" i="3" s="1"/>
  <c r="BF68" i="3" s="1"/>
  <c r="BS68" i="3" s="1"/>
  <c r="CF68" i="3" s="1"/>
  <c r="CS68" i="3" s="1"/>
  <c r="DF68" i="3" s="1"/>
  <c r="DS68" i="3" s="1"/>
  <c r="EF68" i="3" s="1"/>
  <c r="ES68" i="3" s="1"/>
  <c r="F66" i="3"/>
  <c r="S66" i="3" s="1"/>
  <c r="AF66" i="3" s="1"/>
  <c r="AS66" i="3" s="1"/>
  <c r="BF66" i="3" s="1"/>
  <c r="BS66" i="3" s="1"/>
  <c r="CF66" i="3" s="1"/>
  <c r="CS66" i="3" s="1"/>
  <c r="DF66" i="3" s="1"/>
  <c r="DS66" i="3" s="1"/>
  <c r="EF66" i="3" s="1"/>
  <c r="ES66" i="3" s="1"/>
  <c r="F64" i="3"/>
  <c r="S64" i="3" s="1"/>
  <c r="AF64" i="3" s="1"/>
  <c r="AS64" i="3" s="1"/>
  <c r="BF64" i="3" s="1"/>
  <c r="BS64" i="3" s="1"/>
  <c r="CF64" i="3" s="1"/>
  <c r="CS64" i="3" s="1"/>
  <c r="DF64" i="3" s="1"/>
  <c r="DS64" i="3" s="1"/>
  <c r="EF64" i="3" s="1"/>
  <c r="ES64" i="3" s="1"/>
  <c r="F62" i="3"/>
  <c r="S62" i="3" s="1"/>
  <c r="AF62" i="3" s="1"/>
  <c r="AS62" i="3" s="1"/>
  <c r="BF62" i="3" s="1"/>
  <c r="BS62" i="3" s="1"/>
  <c r="CF62" i="3" s="1"/>
  <c r="CS62" i="3" s="1"/>
  <c r="DF62" i="3" s="1"/>
  <c r="DS62" i="3" s="1"/>
  <c r="EF62" i="3" s="1"/>
  <c r="ES62" i="3" s="1"/>
  <c r="F60" i="3"/>
  <c r="S60" i="3" s="1"/>
  <c r="AF60" i="3" s="1"/>
  <c r="AS60" i="3" s="1"/>
  <c r="BF60" i="3" s="1"/>
  <c r="BS60" i="3" s="1"/>
  <c r="CF60" i="3" s="1"/>
  <c r="CS60" i="3" s="1"/>
  <c r="DF60" i="3" s="1"/>
  <c r="DS60" i="3" s="1"/>
  <c r="EF60" i="3" s="1"/>
  <c r="H49" i="3"/>
  <c r="I49" i="3" s="1"/>
  <c r="H47" i="3"/>
  <c r="I47" i="3" s="1"/>
  <c r="H46" i="3"/>
  <c r="H45" i="3"/>
  <c r="I45" i="3" s="1"/>
  <c r="H44" i="3"/>
  <c r="I44" i="3" s="1"/>
  <c r="H42" i="3"/>
  <c r="H34" i="3"/>
  <c r="H31" i="3"/>
  <c r="H33" i="3"/>
  <c r="H32" i="3"/>
  <c r="H6" i="3"/>
  <c r="I6" i="3" s="1"/>
  <c r="U47" i="3"/>
  <c r="U46" i="3"/>
  <c r="U45" i="3"/>
  <c r="U44" i="3"/>
  <c r="U42" i="3"/>
  <c r="U35" i="3"/>
  <c r="U34" i="3"/>
  <c r="U31" i="3"/>
  <c r="U33" i="3"/>
  <c r="U32" i="3"/>
  <c r="U6" i="3"/>
  <c r="Z6" i="3" s="1"/>
  <c r="AH47" i="3"/>
  <c r="AH46" i="3"/>
  <c r="AH45" i="3"/>
  <c r="AH44" i="3"/>
  <c r="AH42" i="3"/>
  <c r="AH35" i="3"/>
  <c r="AH34" i="3"/>
  <c r="AH31" i="3"/>
  <c r="AH33" i="3"/>
  <c r="AH32" i="3"/>
  <c r="AI26" i="3"/>
  <c r="AI24" i="3"/>
  <c r="AH6" i="3"/>
  <c r="AM6" i="3" s="1"/>
  <c r="AU47" i="3"/>
  <c r="AU46" i="3"/>
  <c r="AU45" i="3"/>
  <c r="AU44" i="3"/>
  <c r="AU42" i="3"/>
  <c r="AU35" i="3"/>
  <c r="AZ35" i="3" s="1"/>
  <c r="AU34" i="3"/>
  <c r="AZ34" i="3" s="1"/>
  <c r="AU31" i="3"/>
  <c r="AU33" i="3"/>
  <c r="AY33" i="3" s="1"/>
  <c r="AU32" i="3"/>
  <c r="AY32" i="3" s="1"/>
  <c r="AZ6" i="3"/>
  <c r="BH47" i="3"/>
  <c r="BH46" i="3"/>
  <c r="BH45" i="3"/>
  <c r="BH44" i="3"/>
  <c r="BH42" i="3"/>
  <c r="BH35" i="3"/>
  <c r="BH34" i="3"/>
  <c r="BH31" i="3"/>
  <c r="BH33" i="3"/>
  <c r="BH32" i="3"/>
  <c r="BH6" i="3"/>
  <c r="BM6" i="3" s="1"/>
  <c r="BU47" i="3"/>
  <c r="BU46" i="3"/>
  <c r="BU45" i="3"/>
  <c r="BU44" i="3"/>
  <c r="BU42" i="3"/>
  <c r="BU35" i="3"/>
  <c r="BU34" i="3"/>
  <c r="BU31" i="3"/>
  <c r="BU33" i="3"/>
  <c r="BU32" i="3"/>
  <c r="BU6" i="3"/>
  <c r="BZ6" i="3" s="1"/>
  <c r="BS28" i="3"/>
  <c r="DX49" i="3"/>
  <c r="EX31" i="3"/>
  <c r="EK31" i="3"/>
  <c r="DX35" i="3"/>
  <c r="DX34" i="3"/>
  <c r="DX31" i="3"/>
  <c r="DX33" i="3"/>
  <c r="DX32" i="3"/>
  <c r="DK35" i="3"/>
  <c r="DK34" i="3"/>
  <c r="DK31" i="3"/>
  <c r="DK33" i="3"/>
  <c r="DK32" i="3"/>
  <c r="CW38" i="3"/>
  <c r="CX31" i="3"/>
  <c r="CJ38" i="3"/>
  <c r="CK31" i="3"/>
  <c r="BX31" i="3"/>
  <c r="BK31" i="3"/>
  <c r="AX35" i="3"/>
  <c r="AX34" i="3"/>
  <c r="AX31" i="3"/>
  <c r="AX33" i="3"/>
  <c r="AX32" i="3"/>
  <c r="AK35" i="3"/>
  <c r="AK34" i="3"/>
  <c r="AK31" i="3"/>
  <c r="AK33" i="3"/>
  <c r="AK32" i="3"/>
  <c r="X31" i="3"/>
  <c r="CX44" i="3"/>
  <c r="AE28" i="3"/>
  <c r="D97" i="3"/>
  <c r="Q97" i="3" s="1"/>
  <c r="AD97" i="3" s="1"/>
  <c r="AQ97" i="3" s="1"/>
  <c r="BD97" i="3" s="1"/>
  <c r="E97" i="3"/>
  <c r="R97" i="3" s="1"/>
  <c r="X97" i="3" s="1"/>
  <c r="G97" i="3"/>
  <c r="T97" i="3" s="1"/>
  <c r="DX45" i="3"/>
  <c r="K45" i="3"/>
  <c r="K31" i="3"/>
  <c r="K85" i="3" s="1"/>
  <c r="D87" i="3"/>
  <c r="Q87" i="3" s="1"/>
  <c r="AD87" i="3" s="1"/>
  <c r="AQ87" i="3" s="1"/>
  <c r="BD87" i="3" s="1"/>
  <c r="BQ87" i="3" s="1"/>
  <c r="CD87" i="3" s="1"/>
  <c r="CQ87" i="3" s="1"/>
  <c r="DD87" i="3" s="1"/>
  <c r="DQ87" i="3" s="1"/>
  <c r="ED87" i="3" s="1"/>
  <c r="EQ87" i="3" s="1"/>
  <c r="D86" i="3"/>
  <c r="Q86" i="3" s="1"/>
  <c r="AD86" i="3" s="1"/>
  <c r="AQ86" i="3" s="1"/>
  <c r="BD86" i="3" s="1"/>
  <c r="E96" i="3"/>
  <c r="R96" i="3" s="1"/>
  <c r="E98" i="3"/>
  <c r="R98" i="3" s="1"/>
  <c r="E99" i="3"/>
  <c r="E94" i="3"/>
  <c r="R94" i="3" s="1"/>
  <c r="G96" i="3"/>
  <c r="G98" i="3"/>
  <c r="T98" i="3" s="1"/>
  <c r="G99" i="3"/>
  <c r="T99" i="3" s="1"/>
  <c r="G94" i="3"/>
  <c r="E86" i="3"/>
  <c r="E85" i="3"/>
  <c r="R85" i="3" s="1"/>
  <c r="E87" i="3"/>
  <c r="E89" i="3"/>
  <c r="G86" i="3"/>
  <c r="G85" i="3"/>
  <c r="G87" i="3"/>
  <c r="G88" i="3"/>
  <c r="G89" i="3"/>
  <c r="E60" i="3"/>
  <c r="R60" i="3" s="1"/>
  <c r="AE60" i="3" s="1"/>
  <c r="AR60" i="3" s="1"/>
  <c r="BE60" i="3" s="1"/>
  <c r="E62" i="3"/>
  <c r="R62" i="3" s="1"/>
  <c r="E64" i="3"/>
  <c r="R64" i="3" s="1"/>
  <c r="E72" i="3"/>
  <c r="E66" i="3"/>
  <c r="E80" i="3"/>
  <c r="R80" i="3" s="1"/>
  <c r="E68" i="3"/>
  <c r="R68" i="3" s="1"/>
  <c r="E70" i="3"/>
  <c r="R70" i="3" s="1"/>
  <c r="E78" i="3"/>
  <c r="R78" i="3" s="1"/>
  <c r="E74" i="3"/>
  <c r="R74" i="3" s="1"/>
  <c r="E51" i="3"/>
  <c r="E28" i="3"/>
  <c r="D5" i="2"/>
  <c r="E5" i="2"/>
  <c r="F5" i="2"/>
  <c r="G5" i="2"/>
  <c r="K5" i="2" s="1"/>
  <c r="I6" i="2"/>
  <c r="I7" i="2"/>
  <c r="J5" i="2"/>
  <c r="M5" i="2"/>
  <c r="T5" i="2"/>
  <c r="U5" i="2"/>
  <c r="V5" i="2"/>
  <c r="V54" i="2" s="1"/>
  <c r="W5" i="2"/>
  <c r="AB5" i="2" s="1"/>
  <c r="Y6" i="2"/>
  <c r="Y7" i="2"/>
  <c r="Z5" i="2"/>
  <c r="Z54" i="2"/>
  <c r="AC5" i="2"/>
  <c r="AJ5" i="2"/>
  <c r="AK5" i="2"/>
  <c r="AK54" i="2" s="1"/>
  <c r="AL5" i="2"/>
  <c r="AM5" i="2"/>
  <c r="AQ5" i="2" s="1"/>
  <c r="AO6" i="2"/>
  <c r="AO7" i="2"/>
  <c r="AO5" i="2"/>
  <c r="AP5" i="2"/>
  <c r="AS5" i="2"/>
  <c r="AV5" i="2" s="1"/>
  <c r="AZ5" i="2"/>
  <c r="BA5" i="2"/>
  <c r="BB5" i="2"/>
  <c r="BC5" i="2"/>
  <c r="BE6" i="2"/>
  <c r="BJ6" i="2" s="1"/>
  <c r="BE7" i="2"/>
  <c r="BH5" i="2"/>
  <c r="BO5" i="2"/>
  <c r="BP5" i="2"/>
  <c r="BQ5" i="2"/>
  <c r="BR5" i="2"/>
  <c r="BT6" i="2"/>
  <c r="BT7" i="2"/>
  <c r="BW5" i="2"/>
  <c r="CD5" i="2"/>
  <c r="CE5" i="2"/>
  <c r="CF5" i="2"/>
  <c r="CG5" i="2"/>
  <c r="CI6" i="2"/>
  <c r="CI7" i="2"/>
  <c r="CL5" i="2"/>
  <c r="CS5" i="2"/>
  <c r="CT5" i="2"/>
  <c r="CU5" i="2"/>
  <c r="CV5" i="2"/>
  <c r="CX6" i="2"/>
  <c r="DC6" i="2" s="1"/>
  <c r="CX7" i="2"/>
  <c r="DA5" i="2"/>
  <c r="DH5" i="2"/>
  <c r="DI5" i="2"/>
  <c r="DJ5" i="2"/>
  <c r="DK5" i="2"/>
  <c r="DM6" i="2"/>
  <c r="DM7" i="2"/>
  <c r="DP5" i="2"/>
  <c r="DW5" i="2"/>
  <c r="DX5" i="2"/>
  <c r="DY5" i="2"/>
  <c r="DZ5" i="2"/>
  <c r="EB6" i="2"/>
  <c r="EB7" i="2"/>
  <c r="EE5" i="2"/>
  <c r="EL5" i="2"/>
  <c r="EM5" i="2"/>
  <c r="EN5" i="2"/>
  <c r="EO5" i="2"/>
  <c r="EQ6" i="2"/>
  <c r="EQ7" i="2"/>
  <c r="ET5" i="2"/>
  <c r="FA5" i="2"/>
  <c r="FB5" i="2"/>
  <c r="FC5" i="2"/>
  <c r="FD5" i="2"/>
  <c r="FH5" i="2" s="1"/>
  <c r="FF6" i="2"/>
  <c r="FF7" i="2"/>
  <c r="FG5" i="2"/>
  <c r="FI5" i="2"/>
  <c r="FP5" i="2"/>
  <c r="FQ5" i="2"/>
  <c r="FR5" i="2"/>
  <c r="FS5" i="2"/>
  <c r="FU6" i="2"/>
  <c r="FU7" i="2"/>
  <c r="FX5" i="2"/>
  <c r="K6" i="2"/>
  <c r="L6" i="2"/>
  <c r="AA6" i="2"/>
  <c r="AB6" i="2"/>
  <c r="AE6" i="2"/>
  <c r="AQ6" i="2"/>
  <c r="AR6" i="2"/>
  <c r="BF6" i="2"/>
  <c r="BG6" i="2"/>
  <c r="BU6" i="2"/>
  <c r="BV6" i="2"/>
  <c r="BY6" i="2"/>
  <c r="CJ6" i="2"/>
  <c r="CK6" i="2"/>
  <c r="CN6" i="2"/>
  <c r="CY6" i="2"/>
  <c r="CZ6" i="2"/>
  <c r="DN6" i="2"/>
  <c r="DO6" i="2"/>
  <c r="DR6" i="2"/>
  <c r="EC6" i="2"/>
  <c r="ED6" i="2"/>
  <c r="EG6" i="2"/>
  <c r="ER6" i="2"/>
  <c r="ES6" i="2"/>
  <c r="EV6" i="2"/>
  <c r="FG6" i="2"/>
  <c r="FH6" i="2"/>
  <c r="FK6" i="2"/>
  <c r="FV6" i="2"/>
  <c r="FW6" i="2"/>
  <c r="FZ6" i="2"/>
  <c r="K7" i="2"/>
  <c r="L7" i="2"/>
  <c r="O7" i="2"/>
  <c r="AA7" i="2"/>
  <c r="AB7" i="2"/>
  <c r="AE7" i="2"/>
  <c r="AE56" i="2"/>
  <c r="AQ7" i="2"/>
  <c r="AR7" i="2"/>
  <c r="AU7" i="2"/>
  <c r="BF7" i="2"/>
  <c r="BG7" i="2"/>
  <c r="BU7" i="2"/>
  <c r="BV7" i="2"/>
  <c r="CJ7" i="2"/>
  <c r="CK7" i="2"/>
  <c r="CN7" i="2"/>
  <c r="CY7" i="2"/>
  <c r="CZ7" i="2"/>
  <c r="DN7" i="2"/>
  <c r="DO7" i="2"/>
  <c r="EC7" i="2"/>
  <c r="ED7" i="2"/>
  <c r="ER7" i="2"/>
  <c r="ES7" i="2"/>
  <c r="EV7" i="2"/>
  <c r="FG7" i="2"/>
  <c r="FH7" i="2"/>
  <c r="FV7" i="2"/>
  <c r="FW7" i="2"/>
  <c r="D9" i="2"/>
  <c r="E9" i="2"/>
  <c r="G9" i="2"/>
  <c r="I10" i="2"/>
  <c r="I11" i="2"/>
  <c r="J9" i="2"/>
  <c r="M9" i="2"/>
  <c r="T9" i="2"/>
  <c r="U9" i="2"/>
  <c r="V9" i="2"/>
  <c r="W9" i="2"/>
  <c r="Y10" i="2"/>
  <c r="Y11" i="2"/>
  <c r="Z9" i="2"/>
  <c r="Z58" i="2"/>
  <c r="AC9" i="2"/>
  <c r="AJ9" i="2"/>
  <c r="AK9" i="2"/>
  <c r="AL9" i="2"/>
  <c r="AM9" i="2"/>
  <c r="AO10" i="2"/>
  <c r="AO11" i="2"/>
  <c r="AP9" i="2"/>
  <c r="AQ9" i="2"/>
  <c r="AS9" i="2"/>
  <c r="AZ9" i="2"/>
  <c r="BA9" i="2"/>
  <c r="BB9" i="2"/>
  <c r="BC9" i="2"/>
  <c r="BE10" i="2"/>
  <c r="BE11" i="2"/>
  <c r="BH9" i="2"/>
  <c r="BO9" i="2"/>
  <c r="BP9" i="2"/>
  <c r="BQ9" i="2"/>
  <c r="BR9" i="2"/>
  <c r="BV9" i="2" s="1"/>
  <c r="BT10" i="2"/>
  <c r="BT11" i="2"/>
  <c r="BW9" i="2"/>
  <c r="CD9" i="2"/>
  <c r="CE9" i="2"/>
  <c r="CF9" i="2"/>
  <c r="CG9" i="2"/>
  <c r="CI10" i="2"/>
  <c r="CI11" i="2"/>
  <c r="CN11" i="2" s="1"/>
  <c r="CL9" i="2"/>
  <c r="CS9" i="2"/>
  <c r="CT9" i="2"/>
  <c r="CU9" i="2"/>
  <c r="CV9" i="2"/>
  <c r="CX10" i="2"/>
  <c r="DC10" i="2" s="1"/>
  <c r="CX11" i="2"/>
  <c r="DA9" i="2"/>
  <c r="DH9" i="2"/>
  <c r="DI9" i="2"/>
  <c r="DJ9" i="2"/>
  <c r="DK9" i="2"/>
  <c r="DM10" i="2"/>
  <c r="DM11" i="2"/>
  <c r="DP9" i="2"/>
  <c r="DW9" i="2"/>
  <c r="DX9" i="2"/>
  <c r="DY9" i="2"/>
  <c r="DZ9" i="2"/>
  <c r="EB10" i="2"/>
  <c r="EB11" i="2"/>
  <c r="EC9" i="2"/>
  <c r="EE9" i="2"/>
  <c r="EL9" i="2"/>
  <c r="EM9" i="2"/>
  <c r="EN9" i="2"/>
  <c r="EO9" i="2"/>
  <c r="EQ10" i="2"/>
  <c r="EQ11" i="2"/>
  <c r="EQ9" i="2"/>
  <c r="ET9" i="2"/>
  <c r="FA9" i="2"/>
  <c r="FB9" i="2"/>
  <c r="FC9" i="2"/>
  <c r="FD9" i="2"/>
  <c r="FF10" i="2"/>
  <c r="FF11" i="2"/>
  <c r="FG9" i="2"/>
  <c r="FI9" i="2"/>
  <c r="FP9" i="2"/>
  <c r="FQ9" i="2"/>
  <c r="FR9" i="2"/>
  <c r="FS9" i="2"/>
  <c r="FU10" i="2"/>
  <c r="FU11" i="2"/>
  <c r="FX9" i="2"/>
  <c r="K10" i="2"/>
  <c r="L10" i="2"/>
  <c r="AA10" i="2"/>
  <c r="AB10" i="2"/>
  <c r="AQ10" i="2"/>
  <c r="AR10" i="2"/>
  <c r="BF10" i="2"/>
  <c r="BG10" i="2"/>
  <c r="BJ10" i="2"/>
  <c r="BU10" i="2"/>
  <c r="BV10" i="2"/>
  <c r="BY10" i="2"/>
  <c r="CJ10" i="2"/>
  <c r="CK10" i="2"/>
  <c r="CN10" i="2"/>
  <c r="CY10" i="2"/>
  <c r="CZ10" i="2"/>
  <c r="DN10" i="2"/>
  <c r="DO10" i="2"/>
  <c r="DR10" i="2"/>
  <c r="EC10" i="2"/>
  <c r="ED10" i="2"/>
  <c r="EG10" i="2"/>
  <c r="ER10" i="2"/>
  <c r="ES10" i="2"/>
  <c r="EV10" i="2"/>
  <c r="FG10" i="2"/>
  <c r="FH10" i="2"/>
  <c r="FK10" i="2"/>
  <c r="FV10" i="2"/>
  <c r="FW10" i="2"/>
  <c r="FZ10" i="2"/>
  <c r="K11" i="2"/>
  <c r="L11" i="2"/>
  <c r="O11" i="2"/>
  <c r="AA11" i="2"/>
  <c r="AB11" i="2"/>
  <c r="AE11" i="2"/>
  <c r="AQ11" i="2"/>
  <c r="AR11" i="2"/>
  <c r="AU11" i="2"/>
  <c r="BF11" i="2"/>
  <c r="BG11" i="2"/>
  <c r="BU11" i="2"/>
  <c r="BV11" i="2"/>
  <c r="CJ11" i="2"/>
  <c r="CK11" i="2"/>
  <c r="CY11" i="2"/>
  <c r="CZ11" i="2"/>
  <c r="DN11" i="2"/>
  <c r="DO11" i="2"/>
  <c r="EC11" i="2"/>
  <c r="ED11" i="2"/>
  <c r="ER11" i="2"/>
  <c r="ES11" i="2"/>
  <c r="EV11" i="2"/>
  <c r="FG11" i="2"/>
  <c r="FH11" i="2"/>
  <c r="FV11" i="2"/>
  <c r="FW11" i="2"/>
  <c r="D13" i="2"/>
  <c r="E13" i="2"/>
  <c r="G13" i="2"/>
  <c r="L13" i="2" s="1"/>
  <c r="I14" i="2"/>
  <c r="O14" i="2" s="1"/>
  <c r="I15" i="2"/>
  <c r="J13" i="2"/>
  <c r="K13" i="2"/>
  <c r="M13" i="2"/>
  <c r="T13" i="2"/>
  <c r="U13" i="2"/>
  <c r="V13" i="2"/>
  <c r="W13" i="2"/>
  <c r="Y14" i="2"/>
  <c r="Y15" i="2"/>
  <c r="Z13" i="2"/>
  <c r="AC13" i="2"/>
  <c r="AJ13" i="2"/>
  <c r="AK13" i="2"/>
  <c r="AL13" i="2"/>
  <c r="AM13" i="2"/>
  <c r="AQ13" i="2" s="1"/>
  <c r="AO14" i="2"/>
  <c r="AO15" i="2"/>
  <c r="AP13" i="2"/>
  <c r="AP62" i="2"/>
  <c r="AS13" i="2"/>
  <c r="AZ13" i="2"/>
  <c r="BA13" i="2"/>
  <c r="BB13" i="2"/>
  <c r="BC13" i="2"/>
  <c r="BE14" i="2"/>
  <c r="BJ14" i="2" s="1"/>
  <c r="BE15" i="2"/>
  <c r="BH13" i="2"/>
  <c r="BO13" i="2"/>
  <c r="BP13" i="2"/>
  <c r="BQ13" i="2"/>
  <c r="BR13" i="2"/>
  <c r="BT14" i="2"/>
  <c r="BY14" i="2" s="1"/>
  <c r="BT15" i="2"/>
  <c r="BW13" i="2"/>
  <c r="CD13" i="2"/>
  <c r="CE13" i="2"/>
  <c r="CF13" i="2"/>
  <c r="CG13" i="2"/>
  <c r="CI14" i="2"/>
  <c r="CI15" i="2"/>
  <c r="CL13" i="2"/>
  <c r="CS13" i="2"/>
  <c r="CT13" i="2"/>
  <c r="CU13" i="2"/>
  <c r="CV13" i="2"/>
  <c r="CX14" i="2"/>
  <c r="CX15" i="2"/>
  <c r="DA13" i="2"/>
  <c r="DH13" i="2"/>
  <c r="DI13" i="2"/>
  <c r="DJ13" i="2"/>
  <c r="DK13" i="2"/>
  <c r="DM14" i="2"/>
  <c r="DR14" i="2"/>
  <c r="DM15" i="2"/>
  <c r="DP13" i="2"/>
  <c r="DW13" i="2"/>
  <c r="DX13" i="2"/>
  <c r="DY13" i="2"/>
  <c r="DZ13" i="2"/>
  <c r="EB14" i="2"/>
  <c r="EB15" i="2"/>
  <c r="EE13" i="2"/>
  <c r="EL13" i="2"/>
  <c r="EM13" i="2"/>
  <c r="EN13" i="2"/>
  <c r="EO13" i="2"/>
  <c r="EQ14" i="2"/>
  <c r="EQ15" i="2"/>
  <c r="ET13" i="2"/>
  <c r="FA13" i="2"/>
  <c r="FB13" i="2"/>
  <c r="FC13" i="2"/>
  <c r="FD13" i="2"/>
  <c r="FF14" i="2"/>
  <c r="FF15" i="2"/>
  <c r="FI13" i="2"/>
  <c r="FP13" i="2"/>
  <c r="FQ13" i="2"/>
  <c r="FR13" i="2"/>
  <c r="FS13" i="2"/>
  <c r="FU14" i="2"/>
  <c r="FZ14" i="2"/>
  <c r="FU15" i="2"/>
  <c r="FX13" i="2"/>
  <c r="K14" i="2"/>
  <c r="L14" i="2"/>
  <c r="AA14" i="2"/>
  <c r="AB14" i="2"/>
  <c r="AE14" i="2"/>
  <c r="AQ14" i="2"/>
  <c r="AR14" i="2"/>
  <c r="BF14" i="2"/>
  <c r="BG14" i="2"/>
  <c r="BU14" i="2"/>
  <c r="BV14" i="2"/>
  <c r="CJ14" i="2"/>
  <c r="CK14" i="2"/>
  <c r="CY14" i="2"/>
  <c r="CZ14" i="2"/>
  <c r="DC14" i="2"/>
  <c r="DN14" i="2"/>
  <c r="DO14" i="2"/>
  <c r="EC14" i="2"/>
  <c r="ED14" i="2"/>
  <c r="EG14" i="2"/>
  <c r="ER14" i="2"/>
  <c r="ES14" i="2"/>
  <c r="FG14" i="2"/>
  <c r="FH14" i="2"/>
  <c r="FK14" i="2"/>
  <c r="FV14" i="2"/>
  <c r="FW14" i="2"/>
  <c r="K15" i="2"/>
  <c r="L15" i="2"/>
  <c r="O15" i="2"/>
  <c r="AA15" i="2"/>
  <c r="AB15" i="2"/>
  <c r="AE15" i="2"/>
  <c r="AQ15" i="2"/>
  <c r="AR15" i="2"/>
  <c r="AU15" i="2"/>
  <c r="BF15" i="2"/>
  <c r="BG15" i="2"/>
  <c r="BU15" i="2"/>
  <c r="BV15" i="2"/>
  <c r="CJ15" i="2"/>
  <c r="CK15" i="2"/>
  <c r="CN15" i="2"/>
  <c r="CY15" i="2"/>
  <c r="CZ15" i="2"/>
  <c r="DN15" i="2"/>
  <c r="DO15" i="2"/>
  <c r="DR15" i="2"/>
  <c r="EC15" i="2"/>
  <c r="ED15" i="2"/>
  <c r="ER15" i="2"/>
  <c r="ES15" i="2"/>
  <c r="EV15" i="2"/>
  <c r="FG15" i="2"/>
  <c r="FH15" i="2"/>
  <c r="FV15" i="2"/>
  <c r="FW15" i="2"/>
  <c r="FZ15" i="2"/>
  <c r="D17" i="2"/>
  <c r="E17" i="2"/>
  <c r="F17" i="2"/>
  <c r="G17" i="2"/>
  <c r="I18" i="2"/>
  <c r="I19" i="2"/>
  <c r="J17" i="2"/>
  <c r="L17" i="2"/>
  <c r="M17" i="2"/>
  <c r="T17" i="2"/>
  <c r="U17" i="2"/>
  <c r="V17" i="2"/>
  <c r="W17" i="2"/>
  <c r="AA17" i="2" s="1"/>
  <c r="Y18" i="2"/>
  <c r="Y19" i="2"/>
  <c r="Z17" i="2"/>
  <c r="AC17" i="2"/>
  <c r="AJ17" i="2"/>
  <c r="AK17" i="2"/>
  <c r="AL17" i="2"/>
  <c r="AM17" i="2"/>
  <c r="AO18" i="2"/>
  <c r="AO19" i="2"/>
  <c r="AP17" i="2"/>
  <c r="AS17" i="2"/>
  <c r="AZ17" i="2"/>
  <c r="BA17" i="2"/>
  <c r="BB17" i="2"/>
  <c r="BC17" i="2"/>
  <c r="BE18" i="2"/>
  <c r="BJ18" i="2" s="1"/>
  <c r="BE19" i="2"/>
  <c r="BH17" i="2"/>
  <c r="BO17" i="2"/>
  <c r="BP17" i="2"/>
  <c r="BQ17" i="2"/>
  <c r="BR17" i="2"/>
  <c r="BT18" i="2"/>
  <c r="BT19" i="2"/>
  <c r="BT17" i="2"/>
  <c r="BV17" i="2"/>
  <c r="BW17" i="2"/>
  <c r="BY17" i="2"/>
  <c r="CD17" i="2"/>
  <c r="CE17" i="2"/>
  <c r="CF17" i="2"/>
  <c r="CG17" i="2"/>
  <c r="CI18" i="2"/>
  <c r="CI19" i="2"/>
  <c r="CK17" i="2"/>
  <c r="CL17" i="2"/>
  <c r="CS17" i="2"/>
  <c r="CT17" i="2"/>
  <c r="CU17" i="2"/>
  <c r="CV17" i="2"/>
  <c r="CZ17" i="2"/>
  <c r="CX18" i="2"/>
  <c r="CX19" i="2"/>
  <c r="CX17" i="2"/>
  <c r="DA17" i="2"/>
  <c r="DC17" i="2" s="1"/>
  <c r="DH17" i="2"/>
  <c r="DI17" i="2"/>
  <c r="DJ17" i="2"/>
  <c r="DK17" i="2"/>
  <c r="DM18" i="2"/>
  <c r="DR18" i="2"/>
  <c r="DM19" i="2"/>
  <c r="DP17" i="2"/>
  <c r="DW17" i="2"/>
  <c r="DX17" i="2"/>
  <c r="DY17" i="2"/>
  <c r="DZ17" i="2"/>
  <c r="EB18" i="2"/>
  <c r="EB19" i="2"/>
  <c r="EG19" i="2" s="1"/>
  <c r="EE17" i="2"/>
  <c r="EL17" i="2"/>
  <c r="EM17" i="2"/>
  <c r="EN17" i="2"/>
  <c r="EO17" i="2"/>
  <c r="EQ18" i="2"/>
  <c r="EV18" i="2"/>
  <c r="EQ19" i="2"/>
  <c r="EV19" i="2" s="1"/>
  <c r="ET17" i="2"/>
  <c r="FA17" i="2"/>
  <c r="FB17" i="2"/>
  <c r="FC17" i="2"/>
  <c r="FD17" i="2"/>
  <c r="FF18" i="2"/>
  <c r="FF19" i="2"/>
  <c r="FK19" i="2" s="1"/>
  <c r="FI17" i="2"/>
  <c r="FP17" i="2"/>
  <c r="FQ17" i="2"/>
  <c r="FR17" i="2"/>
  <c r="FS17" i="2"/>
  <c r="FW17" i="2" s="1"/>
  <c r="FU18" i="2"/>
  <c r="FZ18" i="2" s="1"/>
  <c r="FU19" i="2"/>
  <c r="FX17" i="2"/>
  <c r="K18" i="2"/>
  <c r="L18" i="2"/>
  <c r="AA18" i="2"/>
  <c r="AB18" i="2"/>
  <c r="AQ18" i="2"/>
  <c r="AR18" i="2"/>
  <c r="AU18" i="2"/>
  <c r="BF18" i="2"/>
  <c r="BG18" i="2"/>
  <c r="BU18" i="2"/>
  <c r="BV18" i="2"/>
  <c r="BY18" i="2"/>
  <c r="CJ18" i="2"/>
  <c r="CK18" i="2"/>
  <c r="CY18" i="2"/>
  <c r="CZ18" i="2"/>
  <c r="DC18" i="2"/>
  <c r="DN18" i="2"/>
  <c r="DO18" i="2"/>
  <c r="EC18" i="2"/>
  <c r="ED18" i="2"/>
  <c r="EG18" i="2"/>
  <c r="ER18" i="2"/>
  <c r="ES18" i="2"/>
  <c r="FG18" i="2"/>
  <c r="FH18" i="2"/>
  <c r="FK18" i="2"/>
  <c r="FV18" i="2"/>
  <c r="FW18" i="2"/>
  <c r="K19" i="2"/>
  <c r="L19" i="2"/>
  <c r="O19" i="2"/>
  <c r="AA19" i="2"/>
  <c r="AB19" i="2"/>
  <c r="AE19" i="2"/>
  <c r="AQ19" i="2"/>
  <c r="AR19" i="2"/>
  <c r="BF19" i="2"/>
  <c r="BG19" i="2"/>
  <c r="BJ19" i="2"/>
  <c r="BU19" i="2"/>
  <c r="BV19" i="2"/>
  <c r="BY19" i="2"/>
  <c r="CJ19" i="2"/>
  <c r="CK19" i="2"/>
  <c r="CN19" i="2"/>
  <c r="CY19" i="2"/>
  <c r="CZ19" i="2"/>
  <c r="DC19" i="2"/>
  <c r="DN19" i="2"/>
  <c r="DO19" i="2"/>
  <c r="DR19" i="2"/>
  <c r="EC19" i="2"/>
  <c r="ED19" i="2"/>
  <c r="ER19" i="2"/>
  <c r="ES19" i="2"/>
  <c r="FG19" i="2"/>
  <c r="FH19" i="2"/>
  <c r="FV19" i="2"/>
  <c r="FW19" i="2"/>
  <c r="FZ19" i="2"/>
  <c r="D21" i="2"/>
  <c r="E21" i="2"/>
  <c r="F21" i="2"/>
  <c r="G21" i="2"/>
  <c r="L21" i="2" s="1"/>
  <c r="I22" i="2"/>
  <c r="I23" i="2"/>
  <c r="I24" i="2"/>
  <c r="O24" i="2"/>
  <c r="J21" i="2"/>
  <c r="J70" i="2"/>
  <c r="M21" i="2"/>
  <c r="T21" i="2"/>
  <c r="U21" i="2"/>
  <c r="V21" i="2"/>
  <c r="W21" i="2"/>
  <c r="AB21" i="2" s="1"/>
  <c r="Y22" i="2"/>
  <c r="Y23" i="2"/>
  <c r="Y24" i="2"/>
  <c r="Z21" i="2"/>
  <c r="AC21" i="2"/>
  <c r="AJ21" i="2"/>
  <c r="AK21" i="2"/>
  <c r="AL21" i="2"/>
  <c r="AM21" i="2"/>
  <c r="AR21" i="2" s="1"/>
  <c r="AO22" i="2"/>
  <c r="AO23" i="2"/>
  <c r="AU23" i="2" s="1"/>
  <c r="AO24" i="2"/>
  <c r="AU24" i="2"/>
  <c r="AP21" i="2"/>
  <c r="AP70" i="2"/>
  <c r="AS21" i="2"/>
  <c r="AZ21" i="2"/>
  <c r="BA21" i="2"/>
  <c r="BB21" i="2"/>
  <c r="BC21" i="2"/>
  <c r="BE22" i="2"/>
  <c r="BE23" i="2"/>
  <c r="BE24" i="2"/>
  <c r="BJ24" i="2"/>
  <c r="BH21" i="2"/>
  <c r="BO21" i="2"/>
  <c r="BP21" i="2"/>
  <c r="BQ21" i="2"/>
  <c r="BR21" i="2"/>
  <c r="BV21" i="2" s="1"/>
  <c r="BU21" i="2"/>
  <c r="BT22" i="2"/>
  <c r="BT23" i="2"/>
  <c r="BY23" i="2"/>
  <c r="BT24" i="2"/>
  <c r="BW21" i="2"/>
  <c r="CD21" i="2"/>
  <c r="CE21" i="2"/>
  <c r="CF21" i="2"/>
  <c r="CG21" i="2"/>
  <c r="CI22" i="2"/>
  <c r="CI23" i="2"/>
  <c r="CI24" i="2"/>
  <c r="CL21" i="2"/>
  <c r="CS21" i="2"/>
  <c r="CT21" i="2"/>
  <c r="CU21" i="2"/>
  <c r="CV21" i="2"/>
  <c r="CX22" i="2"/>
  <c r="CX23" i="2"/>
  <c r="CX24" i="2"/>
  <c r="DA21" i="2"/>
  <c r="DH21" i="2"/>
  <c r="DI21" i="2"/>
  <c r="DJ21" i="2"/>
  <c r="DK21" i="2"/>
  <c r="DM22" i="2"/>
  <c r="DM23" i="2"/>
  <c r="DM24" i="2"/>
  <c r="DR24" i="2"/>
  <c r="DP21" i="2"/>
  <c r="DW21" i="2"/>
  <c r="DX21" i="2"/>
  <c r="DY21" i="2"/>
  <c r="DZ21" i="2"/>
  <c r="ED21" i="2" s="1"/>
  <c r="EB22" i="2"/>
  <c r="EB23" i="2"/>
  <c r="EG23" i="2"/>
  <c r="EB24" i="2"/>
  <c r="EE21" i="2"/>
  <c r="EL21" i="2"/>
  <c r="EM21" i="2"/>
  <c r="EN21" i="2"/>
  <c r="EO21" i="2"/>
  <c r="ER21" i="2" s="1"/>
  <c r="EQ22" i="2"/>
  <c r="EQ23" i="2"/>
  <c r="EQ24" i="2"/>
  <c r="ET21" i="2"/>
  <c r="FA21" i="2"/>
  <c r="FB21" i="2"/>
  <c r="FC21" i="2"/>
  <c r="FD21" i="2"/>
  <c r="FF22" i="2"/>
  <c r="FF23" i="2"/>
  <c r="FF24" i="2"/>
  <c r="FF21" i="2"/>
  <c r="FI21" i="2"/>
  <c r="FP21" i="2"/>
  <c r="FQ21" i="2"/>
  <c r="FR21" i="2"/>
  <c r="FS21" i="2"/>
  <c r="FU22" i="2"/>
  <c r="FU23" i="2"/>
  <c r="FU24" i="2"/>
  <c r="FZ24" i="2" s="1"/>
  <c r="FX21" i="2"/>
  <c r="K22" i="2"/>
  <c r="L22" i="2"/>
  <c r="AA22" i="2"/>
  <c r="AB22" i="2"/>
  <c r="AQ22" i="2"/>
  <c r="AR22" i="2"/>
  <c r="BF22" i="2"/>
  <c r="BG22" i="2"/>
  <c r="BU22" i="2"/>
  <c r="BV22" i="2"/>
  <c r="BY22" i="2"/>
  <c r="CJ22" i="2"/>
  <c r="CK22" i="2"/>
  <c r="CN22" i="2"/>
  <c r="CY22" i="2"/>
  <c r="CZ22" i="2"/>
  <c r="DC22" i="2"/>
  <c r="DN22" i="2"/>
  <c r="DO22" i="2"/>
  <c r="EC22" i="2"/>
  <c r="ED22" i="2"/>
  <c r="EG22" i="2"/>
  <c r="ER22" i="2"/>
  <c r="ES22" i="2"/>
  <c r="EV22" i="2"/>
  <c r="FG22" i="2"/>
  <c r="FH22" i="2"/>
  <c r="FK22" i="2"/>
  <c r="FV22" i="2"/>
  <c r="FW22" i="2"/>
  <c r="K23" i="2"/>
  <c r="L23" i="2"/>
  <c r="O23" i="2"/>
  <c r="AA23" i="2"/>
  <c r="AB23" i="2"/>
  <c r="AE23" i="2"/>
  <c r="AQ23" i="2"/>
  <c r="AR23" i="2"/>
  <c r="BF23" i="2"/>
  <c r="BG23" i="2"/>
  <c r="BJ23" i="2"/>
  <c r="BU23" i="2"/>
  <c r="BV23" i="2"/>
  <c r="CJ23" i="2"/>
  <c r="CK23" i="2"/>
  <c r="CN23" i="2"/>
  <c r="CY23" i="2"/>
  <c r="CZ23" i="2"/>
  <c r="DN23" i="2"/>
  <c r="DO23" i="2"/>
  <c r="DR23" i="2"/>
  <c r="EC23" i="2"/>
  <c r="ED23" i="2"/>
  <c r="ER23" i="2"/>
  <c r="ES23" i="2"/>
  <c r="EV23" i="2"/>
  <c r="FG23" i="2"/>
  <c r="FH23" i="2"/>
  <c r="FV23" i="2"/>
  <c r="FW23" i="2"/>
  <c r="FZ23" i="2"/>
  <c r="K24" i="2"/>
  <c r="L24" i="2"/>
  <c r="AA24" i="2"/>
  <c r="AB24" i="2"/>
  <c r="AE24" i="2"/>
  <c r="AQ24" i="2"/>
  <c r="AR24" i="2"/>
  <c r="BF24" i="2"/>
  <c r="BG24" i="2"/>
  <c r="BU24" i="2"/>
  <c r="BV24" i="2"/>
  <c r="BY24" i="2"/>
  <c r="CJ24" i="2"/>
  <c r="CK24" i="2"/>
  <c r="CN24" i="2"/>
  <c r="CY24" i="2"/>
  <c r="CZ24" i="2"/>
  <c r="DC24" i="2"/>
  <c r="DN24" i="2"/>
  <c r="DO24" i="2"/>
  <c r="EC24" i="2"/>
  <c r="ED24" i="2"/>
  <c r="EG24" i="2"/>
  <c r="ER24" i="2"/>
  <c r="ES24" i="2"/>
  <c r="EV24" i="2"/>
  <c r="FG24" i="2"/>
  <c r="FH24" i="2"/>
  <c r="FK24" i="2"/>
  <c r="FV24" i="2"/>
  <c r="FW24" i="2"/>
  <c r="D26" i="2"/>
  <c r="E26" i="2"/>
  <c r="F26" i="2"/>
  <c r="G26" i="2"/>
  <c r="L26" i="2" s="1"/>
  <c r="K26" i="2"/>
  <c r="J26" i="2"/>
  <c r="M26" i="2"/>
  <c r="N26" i="2"/>
  <c r="T26" i="2"/>
  <c r="U26" i="2"/>
  <c r="V26" i="2"/>
  <c r="W26" i="2"/>
  <c r="X26" i="2"/>
  <c r="Z26" i="2"/>
  <c r="AA26" i="2"/>
  <c r="AC26" i="2"/>
  <c r="AD26" i="2"/>
  <c r="AJ26" i="2"/>
  <c r="AK26" i="2"/>
  <c r="AL26" i="2"/>
  <c r="AM26" i="2"/>
  <c r="AN26" i="2"/>
  <c r="AR26" i="2" s="1"/>
  <c r="AQ26" i="2"/>
  <c r="AP26" i="2"/>
  <c r="AS26" i="2"/>
  <c r="AT26" i="2"/>
  <c r="AZ26" i="2"/>
  <c r="BA26" i="2"/>
  <c r="BB26" i="2"/>
  <c r="BC26" i="2"/>
  <c r="BD26" i="2"/>
  <c r="BH26" i="2"/>
  <c r="BI26" i="2"/>
  <c r="BO26" i="2"/>
  <c r="BP26" i="2"/>
  <c r="BQ26" i="2"/>
  <c r="BR26" i="2"/>
  <c r="BS26" i="2"/>
  <c r="BT26" i="2"/>
  <c r="BV26" i="2"/>
  <c r="BW26" i="2"/>
  <c r="BX26" i="2"/>
  <c r="BZ26" i="2"/>
  <c r="CD26" i="2"/>
  <c r="CE26" i="2"/>
  <c r="CF26" i="2"/>
  <c r="CG26" i="2"/>
  <c r="CI26" i="2"/>
  <c r="CL26" i="2"/>
  <c r="CM26" i="2"/>
  <c r="CS26" i="2"/>
  <c r="CT26" i="2"/>
  <c r="CU26" i="2"/>
  <c r="CV26" i="2"/>
  <c r="DA26" i="2"/>
  <c r="DB26" i="2"/>
  <c r="DH26" i="2"/>
  <c r="DI26" i="2"/>
  <c r="DJ26" i="2"/>
  <c r="DK26" i="2"/>
  <c r="DM26" i="2"/>
  <c r="DP26" i="2"/>
  <c r="DQ26" i="2"/>
  <c r="DW26" i="2"/>
  <c r="DX26" i="2"/>
  <c r="DY26" i="2"/>
  <c r="DZ26" i="2"/>
  <c r="EB26" i="2"/>
  <c r="EE26" i="2"/>
  <c r="EG26" i="2" s="1"/>
  <c r="EF26" i="2"/>
  <c r="EL26" i="2"/>
  <c r="EM26" i="2"/>
  <c r="EN26" i="2"/>
  <c r="EO26" i="2"/>
  <c r="EQ26" i="2"/>
  <c r="ET26" i="2"/>
  <c r="EU26" i="2"/>
  <c r="FA26" i="2"/>
  <c r="FB26" i="2"/>
  <c r="FC26" i="2"/>
  <c r="FD26" i="2"/>
  <c r="FI26" i="2"/>
  <c r="FJ26" i="2"/>
  <c r="FP26" i="2"/>
  <c r="FQ26" i="2"/>
  <c r="FR26" i="2"/>
  <c r="FS26" i="2"/>
  <c r="FU26" i="2"/>
  <c r="FX26" i="2"/>
  <c r="FY26" i="2"/>
  <c r="G29" i="2"/>
  <c r="I29" i="2"/>
  <c r="K29" i="2"/>
  <c r="I30" i="2"/>
  <c r="K30" i="2"/>
  <c r="L30" i="2"/>
  <c r="M30" i="2"/>
  <c r="O30" i="2"/>
  <c r="I31" i="2"/>
  <c r="K31" i="2"/>
  <c r="L31" i="2"/>
  <c r="O31" i="2"/>
  <c r="I32" i="2"/>
  <c r="K32" i="2"/>
  <c r="L32" i="2"/>
  <c r="O32" i="2"/>
  <c r="I33" i="2"/>
  <c r="K33" i="2"/>
  <c r="L33" i="2"/>
  <c r="O33" i="2"/>
  <c r="I34" i="2"/>
  <c r="K34" i="2"/>
  <c r="L34" i="2"/>
  <c r="O34" i="2"/>
  <c r="I35" i="2"/>
  <c r="K35" i="2"/>
  <c r="L35" i="2"/>
  <c r="O35" i="2"/>
  <c r="I36" i="2"/>
  <c r="K36" i="2"/>
  <c r="L36" i="2"/>
  <c r="O36" i="2"/>
  <c r="I37" i="2"/>
  <c r="K37" i="2"/>
  <c r="L37" i="2"/>
  <c r="O37" i="2"/>
  <c r="D38" i="2"/>
  <c r="E38" i="2"/>
  <c r="F38" i="2"/>
  <c r="G38" i="2"/>
  <c r="L38" i="2" s="1"/>
  <c r="M38" i="2"/>
  <c r="N38" i="2"/>
  <c r="I41" i="2"/>
  <c r="K41" i="2"/>
  <c r="L41" i="2"/>
  <c r="O41" i="2"/>
  <c r="I43" i="2"/>
  <c r="K43" i="2"/>
  <c r="L43" i="2"/>
  <c r="O43" i="2"/>
  <c r="I44" i="2"/>
  <c r="K44" i="2"/>
  <c r="L44" i="2"/>
  <c r="O44" i="2"/>
  <c r="D46" i="2"/>
  <c r="G46" i="2"/>
  <c r="M46" i="2"/>
  <c r="D48" i="2"/>
  <c r="G48" i="2"/>
  <c r="I48" i="2"/>
  <c r="M48" i="2"/>
  <c r="P48" i="2" s="1"/>
  <c r="D54" i="2"/>
  <c r="E54" i="2"/>
  <c r="F54" i="2"/>
  <c r="G54" i="2"/>
  <c r="H54" i="2"/>
  <c r="L54" i="2" s="1"/>
  <c r="K54" i="2"/>
  <c r="J54" i="2"/>
  <c r="N54" i="2"/>
  <c r="O56" i="2"/>
  <c r="U54" i="2"/>
  <c r="W54" i="2"/>
  <c r="X54" i="2"/>
  <c r="AD54" i="2"/>
  <c r="AL54" i="2"/>
  <c r="AN54" i="2"/>
  <c r="AP54" i="2"/>
  <c r="AT54" i="2"/>
  <c r="AU56" i="2"/>
  <c r="AZ54" i="2"/>
  <c r="BB54" i="2"/>
  <c r="BD54" i="2"/>
  <c r="BH54" i="2"/>
  <c r="BI54" i="2"/>
  <c r="BO54" i="2"/>
  <c r="BQ54" i="2"/>
  <c r="BS54" i="2"/>
  <c r="BW54" i="2"/>
  <c r="BX54" i="2"/>
  <c r="CD54" i="2"/>
  <c r="CF54" i="2"/>
  <c r="CH54" i="2"/>
  <c r="CM54" i="2"/>
  <c r="CS54" i="2"/>
  <c r="CU54" i="2"/>
  <c r="CW54" i="2"/>
  <c r="DB54" i="2"/>
  <c r="DH54" i="2"/>
  <c r="DJ54" i="2"/>
  <c r="DL54" i="2"/>
  <c r="DQ54" i="2"/>
  <c r="DW54" i="2"/>
  <c r="DY54" i="2"/>
  <c r="EA54" i="2"/>
  <c r="EF54" i="2"/>
  <c r="EL54" i="2"/>
  <c r="EN54" i="2"/>
  <c r="EP54" i="2"/>
  <c r="EU54" i="2"/>
  <c r="FA54" i="2"/>
  <c r="FC54" i="2"/>
  <c r="FE54" i="2"/>
  <c r="FJ54" i="2"/>
  <c r="FP54" i="2"/>
  <c r="FR54" i="2"/>
  <c r="FT54" i="2"/>
  <c r="FY54" i="2"/>
  <c r="D55" i="2"/>
  <c r="E55" i="2"/>
  <c r="F55" i="2"/>
  <c r="G55" i="2"/>
  <c r="H55" i="2"/>
  <c r="I55" i="2"/>
  <c r="J55" i="2"/>
  <c r="M55" i="2"/>
  <c r="N55" i="2"/>
  <c r="T55" i="2"/>
  <c r="U55" i="2"/>
  <c r="V55" i="2"/>
  <c r="W55" i="2"/>
  <c r="X55" i="2"/>
  <c r="Y55" i="2"/>
  <c r="Z55" i="2"/>
  <c r="AC55" i="2"/>
  <c r="AD55" i="2"/>
  <c r="AJ55" i="2"/>
  <c r="AK55" i="2"/>
  <c r="AL55" i="2"/>
  <c r="AM55" i="2"/>
  <c r="AN55" i="2"/>
  <c r="AR55" i="2" s="1"/>
  <c r="AP55" i="2"/>
  <c r="AS55" i="2"/>
  <c r="AT55" i="2"/>
  <c r="AZ55" i="2"/>
  <c r="BA55" i="2"/>
  <c r="BB55" i="2"/>
  <c r="BC55" i="2"/>
  <c r="BD55" i="2"/>
  <c r="BE55" i="2"/>
  <c r="BH55" i="2"/>
  <c r="BO55" i="2"/>
  <c r="BP55" i="2"/>
  <c r="BQ55" i="2"/>
  <c r="BR55" i="2"/>
  <c r="BS55" i="2"/>
  <c r="BU55" i="2" s="1"/>
  <c r="BV55" i="2"/>
  <c r="BW55" i="2"/>
  <c r="CD55" i="2"/>
  <c r="CE55" i="2"/>
  <c r="CF55" i="2"/>
  <c r="CG55" i="2"/>
  <c r="CH55" i="2"/>
  <c r="CJ55" i="2" s="1"/>
  <c r="CI55" i="2"/>
  <c r="CL55" i="2"/>
  <c r="CS55" i="2"/>
  <c r="CT55" i="2"/>
  <c r="CU55" i="2"/>
  <c r="CV55" i="2"/>
  <c r="CW55" i="2"/>
  <c r="DA55" i="2"/>
  <c r="DH55" i="2"/>
  <c r="DI55" i="2"/>
  <c r="DJ55" i="2"/>
  <c r="DK55" i="2"/>
  <c r="DL55" i="2"/>
  <c r="DM55" i="2"/>
  <c r="DP55" i="2"/>
  <c r="DW55" i="2"/>
  <c r="DX55" i="2"/>
  <c r="DY55" i="2"/>
  <c r="DZ55" i="2"/>
  <c r="EA55" i="2"/>
  <c r="EC55" i="2" s="1"/>
  <c r="EE55" i="2"/>
  <c r="EL55" i="2"/>
  <c r="EM55" i="2"/>
  <c r="EN55" i="2"/>
  <c r="EO55" i="2"/>
  <c r="EP55" i="2"/>
  <c r="ER55" i="2" s="1"/>
  <c r="EQ55" i="2"/>
  <c r="ET55" i="2"/>
  <c r="FA55" i="2"/>
  <c r="FB55" i="2"/>
  <c r="FC55" i="2"/>
  <c r="FD55" i="2"/>
  <c r="FE55" i="2"/>
  <c r="FI55" i="2"/>
  <c r="FP55" i="2"/>
  <c r="FQ55" i="2"/>
  <c r="FR55" i="2"/>
  <c r="FS55" i="2"/>
  <c r="FT55" i="2"/>
  <c r="FU55" i="2"/>
  <c r="FX55" i="2"/>
  <c r="D56" i="2"/>
  <c r="E56" i="2"/>
  <c r="F56" i="2"/>
  <c r="G56" i="2"/>
  <c r="H56" i="2"/>
  <c r="L56" i="2" s="1"/>
  <c r="K56" i="2"/>
  <c r="I56" i="2"/>
  <c r="J56" i="2"/>
  <c r="M56" i="2"/>
  <c r="N56" i="2"/>
  <c r="T56" i="2"/>
  <c r="U56" i="2"/>
  <c r="V56" i="2"/>
  <c r="W56" i="2"/>
  <c r="X56" i="2"/>
  <c r="Y56" i="2"/>
  <c r="Z56" i="2"/>
  <c r="AC56" i="2"/>
  <c r="AD56" i="2"/>
  <c r="AJ56" i="2"/>
  <c r="AK56" i="2"/>
  <c r="AL56" i="2"/>
  <c r="AM56" i="2"/>
  <c r="AN56" i="2"/>
  <c r="AQ56" i="2"/>
  <c r="AO56" i="2"/>
  <c r="AP56" i="2"/>
  <c r="AS56" i="2"/>
  <c r="AT56" i="2"/>
  <c r="AZ56" i="2"/>
  <c r="BA56" i="2"/>
  <c r="BB56" i="2"/>
  <c r="BC56" i="2"/>
  <c r="BD56" i="2"/>
  <c r="BE56" i="2"/>
  <c r="BH56" i="2"/>
  <c r="BO56" i="2"/>
  <c r="BP56" i="2"/>
  <c r="BQ56" i="2"/>
  <c r="BR56" i="2"/>
  <c r="BS56" i="2"/>
  <c r="BU56" i="2" s="1"/>
  <c r="BV56" i="2"/>
  <c r="BW56" i="2"/>
  <c r="CD56" i="2"/>
  <c r="CE56" i="2"/>
  <c r="CF56" i="2"/>
  <c r="CG56" i="2"/>
  <c r="CH56" i="2"/>
  <c r="CJ56" i="2" s="1"/>
  <c r="CI56" i="2"/>
  <c r="CL56" i="2"/>
  <c r="CS56" i="2"/>
  <c r="CT56" i="2"/>
  <c r="CU56" i="2"/>
  <c r="CV56" i="2"/>
  <c r="CW56" i="2"/>
  <c r="DA56" i="2"/>
  <c r="DH56" i="2"/>
  <c r="DI56" i="2"/>
  <c r="DJ56" i="2"/>
  <c r="DK56" i="2"/>
  <c r="DL56" i="2"/>
  <c r="DM56" i="2"/>
  <c r="DP56" i="2"/>
  <c r="DW56" i="2"/>
  <c r="DX56" i="2"/>
  <c r="DY56" i="2"/>
  <c r="DZ56" i="2"/>
  <c r="EA56" i="2"/>
  <c r="EC56" i="2" s="1"/>
  <c r="EE56" i="2"/>
  <c r="EL56" i="2"/>
  <c r="EM56" i="2"/>
  <c r="EN56" i="2"/>
  <c r="EO56" i="2"/>
  <c r="EP56" i="2"/>
  <c r="ER56" i="2" s="1"/>
  <c r="EQ56" i="2"/>
  <c r="ET56" i="2"/>
  <c r="FA56" i="2"/>
  <c r="FB56" i="2"/>
  <c r="FC56" i="2"/>
  <c r="FD56" i="2"/>
  <c r="FE56" i="2"/>
  <c r="FI56" i="2"/>
  <c r="FP56" i="2"/>
  <c r="FQ56" i="2"/>
  <c r="FR56" i="2"/>
  <c r="FS56" i="2"/>
  <c r="FT56" i="2"/>
  <c r="FU56" i="2"/>
  <c r="FX56" i="2"/>
  <c r="D58" i="2"/>
  <c r="E58" i="2"/>
  <c r="F58" i="2"/>
  <c r="G58" i="2"/>
  <c r="H58" i="2"/>
  <c r="L58" i="2" s="1"/>
  <c r="K58" i="2"/>
  <c r="J58" i="2"/>
  <c r="N58" i="2"/>
  <c r="O60" i="2"/>
  <c r="T58" i="2"/>
  <c r="U58" i="2"/>
  <c r="V58" i="2"/>
  <c r="W58" i="2"/>
  <c r="X58" i="2"/>
  <c r="AC58" i="2"/>
  <c r="AD58" i="2"/>
  <c r="AE60" i="2"/>
  <c r="AJ58" i="2"/>
  <c r="AK58" i="2"/>
  <c r="AL58" i="2"/>
  <c r="AM58" i="2"/>
  <c r="AN58" i="2"/>
  <c r="AP58" i="2"/>
  <c r="AT58" i="2"/>
  <c r="AU60" i="2"/>
  <c r="BA58" i="2"/>
  <c r="BC58" i="2"/>
  <c r="BD58" i="2"/>
  <c r="BI58" i="2"/>
  <c r="BP58" i="2"/>
  <c r="BR58" i="2"/>
  <c r="BS58" i="2"/>
  <c r="BX58" i="2"/>
  <c r="CE58" i="2"/>
  <c r="CG58" i="2"/>
  <c r="CH58" i="2"/>
  <c r="CM58" i="2"/>
  <c r="CT58" i="2"/>
  <c r="CV58" i="2"/>
  <c r="CW58" i="2"/>
  <c r="DB58" i="2"/>
  <c r="DI58" i="2"/>
  <c r="DK58" i="2"/>
  <c r="DL58" i="2"/>
  <c r="DQ58" i="2"/>
  <c r="DX58" i="2"/>
  <c r="DZ58" i="2"/>
  <c r="EA58" i="2"/>
  <c r="EF58" i="2"/>
  <c r="EM58" i="2"/>
  <c r="EO58" i="2"/>
  <c r="EP58" i="2"/>
  <c r="EU58" i="2"/>
  <c r="FB58" i="2"/>
  <c r="FD58" i="2"/>
  <c r="FE58" i="2"/>
  <c r="FJ58" i="2"/>
  <c r="FQ58" i="2"/>
  <c r="FS58" i="2"/>
  <c r="FT58" i="2"/>
  <c r="FY58" i="2"/>
  <c r="D59" i="2"/>
  <c r="E59" i="2"/>
  <c r="F59" i="2"/>
  <c r="G59" i="2"/>
  <c r="H59" i="2"/>
  <c r="K59" i="2" s="1"/>
  <c r="I59" i="2"/>
  <c r="J59" i="2"/>
  <c r="M59" i="2"/>
  <c r="N59" i="2"/>
  <c r="T59" i="2"/>
  <c r="U59" i="2"/>
  <c r="V59" i="2"/>
  <c r="W59" i="2"/>
  <c r="X59" i="2"/>
  <c r="Y59" i="2"/>
  <c r="Z59" i="2"/>
  <c r="AC59" i="2"/>
  <c r="AD59" i="2"/>
  <c r="AJ59" i="2"/>
  <c r="AK59" i="2"/>
  <c r="AL59" i="2"/>
  <c r="AM59" i="2"/>
  <c r="AN59" i="2"/>
  <c r="AO59" i="2"/>
  <c r="AP59" i="2"/>
  <c r="AQ59" i="2"/>
  <c r="AS59" i="2"/>
  <c r="AT59" i="2"/>
  <c r="AZ59" i="2"/>
  <c r="BA59" i="2"/>
  <c r="BB59" i="2"/>
  <c r="BC59" i="2"/>
  <c r="BD59" i="2"/>
  <c r="BF59" i="2" s="1"/>
  <c r="BH59" i="2"/>
  <c r="BO59" i="2"/>
  <c r="BP59" i="2"/>
  <c r="BQ59" i="2"/>
  <c r="BR59" i="2"/>
  <c r="BS59" i="2"/>
  <c r="BU59" i="2" s="1"/>
  <c r="BT59" i="2"/>
  <c r="BW59" i="2"/>
  <c r="CD59" i="2"/>
  <c r="CE59" i="2"/>
  <c r="CF59" i="2"/>
  <c r="CG59" i="2"/>
  <c r="CH59" i="2"/>
  <c r="CL59" i="2"/>
  <c r="CS59" i="2"/>
  <c r="CT59" i="2"/>
  <c r="CU59" i="2"/>
  <c r="CV59" i="2"/>
  <c r="CW59" i="2"/>
  <c r="CX59" i="2"/>
  <c r="DA59" i="2"/>
  <c r="DH59" i="2"/>
  <c r="DI59" i="2"/>
  <c r="DJ59" i="2"/>
  <c r="DK59" i="2"/>
  <c r="DL59" i="2"/>
  <c r="DN59" i="2" s="1"/>
  <c r="DO59" i="2"/>
  <c r="DP59" i="2"/>
  <c r="DW59" i="2"/>
  <c r="DX59" i="2"/>
  <c r="DY59" i="2"/>
  <c r="DZ59" i="2"/>
  <c r="EA59" i="2"/>
  <c r="EC59" i="2" s="1"/>
  <c r="EB59" i="2"/>
  <c r="EE59" i="2"/>
  <c r="EL59" i="2"/>
  <c r="EM59" i="2"/>
  <c r="EN59" i="2"/>
  <c r="EO59" i="2"/>
  <c r="EP59" i="2"/>
  <c r="ET59" i="2"/>
  <c r="FA59" i="2"/>
  <c r="FB59" i="2"/>
  <c r="FC59" i="2"/>
  <c r="FD59" i="2"/>
  <c r="FE59" i="2"/>
  <c r="FF59" i="2"/>
  <c r="FI59" i="2"/>
  <c r="FP59" i="2"/>
  <c r="FQ59" i="2"/>
  <c r="FR59" i="2"/>
  <c r="FS59" i="2"/>
  <c r="FT59" i="2"/>
  <c r="FV59" i="2" s="1"/>
  <c r="FX59" i="2"/>
  <c r="D60" i="2"/>
  <c r="E60" i="2"/>
  <c r="F60" i="2"/>
  <c r="G60" i="2"/>
  <c r="H60" i="2"/>
  <c r="L60" i="2" s="1"/>
  <c r="I60" i="2"/>
  <c r="J60" i="2"/>
  <c r="K60" i="2"/>
  <c r="M60" i="2"/>
  <c r="N60" i="2"/>
  <c r="T60" i="2"/>
  <c r="U60" i="2"/>
  <c r="V60" i="2"/>
  <c r="W60" i="2"/>
  <c r="X60" i="2"/>
  <c r="Y60" i="2"/>
  <c r="Z60" i="2"/>
  <c r="AC60" i="2"/>
  <c r="AD60" i="2"/>
  <c r="AJ60" i="2"/>
  <c r="AK60" i="2"/>
  <c r="AL60" i="2"/>
  <c r="AM60" i="2"/>
  <c r="AN60" i="2"/>
  <c r="AR60" i="2" s="1"/>
  <c r="AO60" i="2"/>
  <c r="AP60" i="2"/>
  <c r="AS60" i="2"/>
  <c r="AT60" i="2"/>
  <c r="AZ60" i="2"/>
  <c r="BA60" i="2"/>
  <c r="BB60" i="2"/>
  <c r="BC60" i="2"/>
  <c r="BD60" i="2"/>
  <c r="BH60" i="2"/>
  <c r="BO60" i="2"/>
  <c r="BP60" i="2"/>
  <c r="BQ60" i="2"/>
  <c r="BR60" i="2"/>
  <c r="BS60" i="2"/>
  <c r="BT60" i="2"/>
  <c r="BW60" i="2"/>
  <c r="CD60" i="2"/>
  <c r="CE60" i="2"/>
  <c r="CF60" i="2"/>
  <c r="CG60" i="2"/>
  <c r="CH60" i="2"/>
  <c r="CJ60" i="2" s="1"/>
  <c r="CL60" i="2"/>
  <c r="CS60" i="2"/>
  <c r="CT60" i="2"/>
  <c r="CU60" i="2"/>
  <c r="CV60" i="2"/>
  <c r="CW60" i="2"/>
  <c r="CZ60" i="2" s="1"/>
  <c r="CX60" i="2"/>
  <c r="DA60" i="2"/>
  <c r="DH60" i="2"/>
  <c r="DI60" i="2"/>
  <c r="DJ60" i="2"/>
  <c r="DK60" i="2"/>
  <c r="DL60" i="2"/>
  <c r="DP60" i="2"/>
  <c r="DW60" i="2"/>
  <c r="DX60" i="2"/>
  <c r="DY60" i="2"/>
  <c r="DZ60" i="2"/>
  <c r="EA60" i="2"/>
  <c r="EB60" i="2"/>
  <c r="EE60" i="2"/>
  <c r="EL60" i="2"/>
  <c r="EM60" i="2"/>
  <c r="EN60" i="2"/>
  <c r="EO60" i="2"/>
  <c r="EP60" i="2"/>
  <c r="ER60" i="2" s="1"/>
  <c r="ET60" i="2"/>
  <c r="FA60" i="2"/>
  <c r="FB60" i="2"/>
  <c r="FC60" i="2"/>
  <c r="FD60" i="2"/>
  <c r="FE60" i="2"/>
  <c r="FH60" i="2" s="1"/>
  <c r="FF60" i="2"/>
  <c r="FI60" i="2"/>
  <c r="FP60" i="2"/>
  <c r="FQ60" i="2"/>
  <c r="FR60" i="2"/>
  <c r="FS60" i="2"/>
  <c r="FT60" i="2"/>
  <c r="FX60" i="2"/>
  <c r="D62" i="2"/>
  <c r="E62" i="2"/>
  <c r="F62" i="2"/>
  <c r="G62" i="2"/>
  <c r="H62" i="2"/>
  <c r="L62" i="2" s="1"/>
  <c r="J62" i="2"/>
  <c r="N62" i="2"/>
  <c r="O64" i="2"/>
  <c r="T62" i="2"/>
  <c r="U62" i="2"/>
  <c r="V62" i="2"/>
  <c r="W62" i="2"/>
  <c r="X62" i="2"/>
  <c r="Z62" i="2"/>
  <c r="AD62" i="2"/>
  <c r="AE64" i="2"/>
  <c r="AK62" i="2"/>
  <c r="AM62" i="2"/>
  <c r="AN62" i="2"/>
  <c r="AS62" i="2"/>
  <c r="AT62" i="2"/>
  <c r="AU64" i="2"/>
  <c r="AZ62" i="2"/>
  <c r="BB62" i="2"/>
  <c r="BD62" i="2"/>
  <c r="BI62" i="2"/>
  <c r="BO62" i="2"/>
  <c r="BQ62" i="2"/>
  <c r="BS62" i="2"/>
  <c r="BX62" i="2"/>
  <c r="CD62" i="2"/>
  <c r="CF62" i="2"/>
  <c r="CH62" i="2"/>
  <c r="CM62" i="2"/>
  <c r="CS62" i="2"/>
  <c r="CU62" i="2"/>
  <c r="CW62" i="2"/>
  <c r="DB62" i="2"/>
  <c r="DH62" i="2"/>
  <c r="DJ62" i="2"/>
  <c r="DL62" i="2"/>
  <c r="DQ62" i="2"/>
  <c r="DW62" i="2"/>
  <c r="DY62" i="2"/>
  <c r="EA62" i="2"/>
  <c r="EF62" i="2"/>
  <c r="EL62" i="2"/>
  <c r="EN62" i="2"/>
  <c r="EP62" i="2"/>
  <c r="EU62" i="2"/>
  <c r="FA62" i="2"/>
  <c r="FC62" i="2"/>
  <c r="FE62" i="2"/>
  <c r="FJ62" i="2"/>
  <c r="FP62" i="2"/>
  <c r="FR62" i="2"/>
  <c r="FT62" i="2"/>
  <c r="FY62" i="2"/>
  <c r="D63" i="2"/>
  <c r="E63" i="2"/>
  <c r="F63" i="2"/>
  <c r="G63" i="2"/>
  <c r="H63" i="2"/>
  <c r="L63" i="2" s="1"/>
  <c r="I63" i="2"/>
  <c r="J63" i="2"/>
  <c r="M63" i="2"/>
  <c r="N63" i="2"/>
  <c r="T63" i="2"/>
  <c r="U63" i="2"/>
  <c r="V63" i="2"/>
  <c r="W63" i="2"/>
  <c r="X63" i="2"/>
  <c r="Y63" i="2"/>
  <c r="Z63" i="2"/>
  <c r="AC63" i="2"/>
  <c r="AD63" i="2"/>
  <c r="AJ63" i="2"/>
  <c r="AK63" i="2"/>
  <c r="AL63" i="2"/>
  <c r="AM63" i="2"/>
  <c r="AN63" i="2"/>
  <c r="AQ63" i="2"/>
  <c r="AP63" i="2"/>
  <c r="AS63" i="2"/>
  <c r="AT63" i="2"/>
  <c r="AT108" i="2" s="1"/>
  <c r="AZ63" i="2"/>
  <c r="BA63" i="2"/>
  <c r="BB63" i="2"/>
  <c r="BC63" i="2"/>
  <c r="BD63" i="2"/>
  <c r="BE63" i="2"/>
  <c r="BH63" i="2"/>
  <c r="BO63" i="2"/>
  <c r="BP63" i="2"/>
  <c r="BQ63" i="2"/>
  <c r="BR63" i="2"/>
  <c r="BS63" i="2"/>
  <c r="BW63" i="2"/>
  <c r="CD63" i="2"/>
  <c r="CE63" i="2"/>
  <c r="CF63" i="2"/>
  <c r="CG63" i="2"/>
  <c r="CH63" i="2"/>
  <c r="CI63" i="2"/>
  <c r="CL63" i="2"/>
  <c r="CS63" i="2"/>
  <c r="CT63" i="2"/>
  <c r="CU63" i="2"/>
  <c r="CV63" i="2"/>
  <c r="CW63" i="2"/>
  <c r="CY63" i="2"/>
  <c r="DA63" i="2"/>
  <c r="DH63" i="2"/>
  <c r="DI63" i="2"/>
  <c r="DJ63" i="2"/>
  <c r="DK63" i="2"/>
  <c r="DL63" i="2"/>
  <c r="DO63" i="2" s="1"/>
  <c r="DM63" i="2"/>
  <c r="DP63" i="2"/>
  <c r="DW63" i="2"/>
  <c r="DX63" i="2"/>
  <c r="DY63" i="2"/>
  <c r="DZ63" i="2"/>
  <c r="EA63" i="2"/>
  <c r="EE63" i="2"/>
  <c r="EL63" i="2"/>
  <c r="EM63" i="2"/>
  <c r="EN63" i="2"/>
  <c r="EO63" i="2"/>
  <c r="EP63" i="2"/>
  <c r="EQ63" i="2"/>
  <c r="ET63" i="2"/>
  <c r="FA63" i="2"/>
  <c r="FB63" i="2"/>
  <c r="FC63" i="2"/>
  <c r="FD63" i="2"/>
  <c r="FE63" i="2"/>
  <c r="FI63" i="2"/>
  <c r="FP63" i="2"/>
  <c r="FQ63" i="2"/>
  <c r="FR63" i="2"/>
  <c r="FS63" i="2"/>
  <c r="FT63" i="2"/>
  <c r="FW63" i="2" s="1"/>
  <c r="FU63" i="2"/>
  <c r="FX63" i="2"/>
  <c r="D64" i="2"/>
  <c r="E64" i="2"/>
  <c r="F64" i="2"/>
  <c r="G64" i="2"/>
  <c r="H64" i="2"/>
  <c r="I64" i="2"/>
  <c r="J64" i="2"/>
  <c r="M64" i="2"/>
  <c r="N64" i="2"/>
  <c r="T64" i="2"/>
  <c r="U64" i="2"/>
  <c r="V64" i="2"/>
  <c r="W64" i="2"/>
  <c r="X64" i="2"/>
  <c r="AB64" i="2" s="1"/>
  <c r="Y64" i="2"/>
  <c r="Z64" i="2"/>
  <c r="AA64" i="2"/>
  <c r="AC64" i="2"/>
  <c r="AD64" i="2"/>
  <c r="AJ64" i="2"/>
  <c r="AK64" i="2"/>
  <c r="AL64" i="2"/>
  <c r="AM64" i="2"/>
  <c r="AN64" i="2"/>
  <c r="AO64" i="2"/>
  <c r="AP64" i="2"/>
  <c r="AS64" i="2"/>
  <c r="AT64" i="2"/>
  <c r="AZ64" i="2"/>
  <c r="BA64" i="2"/>
  <c r="BB64" i="2"/>
  <c r="BC64" i="2"/>
  <c r="BD64" i="2"/>
  <c r="BE64" i="2"/>
  <c r="BG64" i="2"/>
  <c r="BH64" i="2"/>
  <c r="BO64" i="2"/>
  <c r="BP64" i="2"/>
  <c r="BQ64" i="2"/>
  <c r="BR64" i="2"/>
  <c r="BS64" i="2"/>
  <c r="BW64" i="2"/>
  <c r="CD64" i="2"/>
  <c r="CE64" i="2"/>
  <c r="CF64" i="2"/>
  <c r="CG64" i="2"/>
  <c r="CH64" i="2"/>
  <c r="CI64" i="2"/>
  <c r="CL64" i="2"/>
  <c r="CS64" i="2"/>
  <c r="CT64" i="2"/>
  <c r="CU64" i="2"/>
  <c r="CV64" i="2"/>
  <c r="CW64" i="2"/>
  <c r="CY64" i="2" s="1"/>
  <c r="DA64" i="2"/>
  <c r="DH64" i="2"/>
  <c r="DI64" i="2"/>
  <c r="DJ64" i="2"/>
  <c r="DK64" i="2"/>
  <c r="DL64" i="2"/>
  <c r="DO64" i="2" s="1"/>
  <c r="DM64" i="2"/>
  <c r="DP64" i="2"/>
  <c r="DW64" i="2"/>
  <c r="DX64" i="2"/>
  <c r="DY64" i="2"/>
  <c r="DZ64" i="2"/>
  <c r="EA64" i="2"/>
  <c r="EE64" i="2"/>
  <c r="EL64" i="2"/>
  <c r="EM64" i="2"/>
  <c r="EN64" i="2"/>
  <c r="EO64" i="2"/>
  <c r="EP64" i="2"/>
  <c r="EQ64" i="2"/>
  <c r="ET64" i="2"/>
  <c r="FA64" i="2"/>
  <c r="FB64" i="2"/>
  <c r="FC64" i="2"/>
  <c r="FD64" i="2"/>
  <c r="FE64" i="2"/>
  <c r="FI64" i="2"/>
  <c r="FP64" i="2"/>
  <c r="FQ64" i="2"/>
  <c r="FR64" i="2"/>
  <c r="FS64" i="2"/>
  <c r="FT64" i="2"/>
  <c r="FW64" i="2" s="1"/>
  <c r="FU64" i="2"/>
  <c r="FX64" i="2"/>
  <c r="D66" i="2"/>
  <c r="E66" i="2"/>
  <c r="F66" i="2"/>
  <c r="G66" i="2"/>
  <c r="H66" i="2"/>
  <c r="J66" i="2"/>
  <c r="M66" i="2"/>
  <c r="N66" i="2"/>
  <c r="O68" i="2"/>
  <c r="U66" i="2"/>
  <c r="W66" i="2"/>
  <c r="X66" i="2"/>
  <c r="AC66" i="2"/>
  <c r="AD66" i="2"/>
  <c r="AE68" i="2"/>
  <c r="AL66" i="2"/>
  <c r="AN66" i="2"/>
  <c r="AP66" i="2"/>
  <c r="AS66" i="2"/>
  <c r="AT66" i="2"/>
  <c r="BA66" i="2"/>
  <c r="BD66" i="2"/>
  <c r="BH66" i="2"/>
  <c r="BI66" i="2"/>
  <c r="BR66" i="2"/>
  <c r="BS66" i="2"/>
  <c r="BW66" i="2"/>
  <c r="BX66" i="2"/>
  <c r="CE66" i="2"/>
  <c r="CH66" i="2"/>
  <c r="CL66" i="2"/>
  <c r="CM66" i="2"/>
  <c r="CV66" i="2"/>
  <c r="CW66" i="2"/>
  <c r="DA66" i="2"/>
  <c r="DB66" i="2"/>
  <c r="DI66" i="2"/>
  <c r="DL66" i="2"/>
  <c r="DP66" i="2"/>
  <c r="DQ66" i="2"/>
  <c r="DZ66" i="2"/>
  <c r="EA66" i="2"/>
  <c r="EE66" i="2"/>
  <c r="EF66" i="2"/>
  <c r="EM66" i="2"/>
  <c r="EP66" i="2"/>
  <c r="ET66" i="2"/>
  <c r="EU66" i="2"/>
  <c r="FD66" i="2"/>
  <c r="FE66" i="2"/>
  <c r="FI66" i="2"/>
  <c r="FJ66" i="2"/>
  <c r="FQ66" i="2"/>
  <c r="FT66" i="2"/>
  <c r="FX66" i="2"/>
  <c r="FY66" i="2"/>
  <c r="D67" i="2"/>
  <c r="E67" i="2"/>
  <c r="F67" i="2"/>
  <c r="G67" i="2"/>
  <c r="H67" i="2"/>
  <c r="L67" i="2" s="1"/>
  <c r="I67" i="2"/>
  <c r="J67" i="2"/>
  <c r="M67" i="2"/>
  <c r="N67" i="2"/>
  <c r="T67" i="2"/>
  <c r="U67" i="2"/>
  <c r="V67" i="2"/>
  <c r="W67" i="2"/>
  <c r="X67" i="2"/>
  <c r="AB67" i="2" s="1"/>
  <c r="Z67" i="2"/>
  <c r="AC67" i="2"/>
  <c r="AD67" i="2"/>
  <c r="AJ67" i="2"/>
  <c r="AK67" i="2"/>
  <c r="AL67" i="2"/>
  <c r="AM67" i="2"/>
  <c r="AN67" i="2"/>
  <c r="AP67" i="2"/>
  <c r="AS67" i="2"/>
  <c r="AT67" i="2"/>
  <c r="AZ67" i="2"/>
  <c r="BA67" i="2"/>
  <c r="BB67" i="2"/>
  <c r="BC67" i="2"/>
  <c r="BD67" i="2"/>
  <c r="BH67" i="2"/>
  <c r="BO67" i="2"/>
  <c r="BP67" i="2"/>
  <c r="BQ67" i="2"/>
  <c r="BR67" i="2"/>
  <c r="BS67" i="2"/>
  <c r="BT67" i="2"/>
  <c r="BW67" i="2"/>
  <c r="CD67" i="2"/>
  <c r="CE67" i="2"/>
  <c r="CF67" i="2"/>
  <c r="CG67" i="2"/>
  <c r="CH67" i="2"/>
  <c r="CL67" i="2"/>
  <c r="CS67" i="2"/>
  <c r="CT67" i="2"/>
  <c r="CU67" i="2"/>
  <c r="CV67" i="2"/>
  <c r="CW67" i="2"/>
  <c r="CY67" i="2" s="1"/>
  <c r="DA67" i="2"/>
  <c r="DH67" i="2"/>
  <c r="DI67" i="2"/>
  <c r="DJ67" i="2"/>
  <c r="DK67" i="2"/>
  <c r="DL67" i="2"/>
  <c r="DP67" i="2"/>
  <c r="DW67" i="2"/>
  <c r="DX67" i="2"/>
  <c r="DY67" i="2"/>
  <c r="DZ67" i="2"/>
  <c r="EA67" i="2"/>
  <c r="EB67" i="2"/>
  <c r="EE67" i="2"/>
  <c r="EL67" i="2"/>
  <c r="EM67" i="2"/>
  <c r="EN67" i="2"/>
  <c r="EO67" i="2"/>
  <c r="EP67" i="2"/>
  <c r="ES67" i="2"/>
  <c r="ET67" i="2"/>
  <c r="FA67" i="2"/>
  <c r="FB67" i="2"/>
  <c r="FC67" i="2"/>
  <c r="FD67" i="2"/>
  <c r="FE67" i="2"/>
  <c r="FI67" i="2"/>
  <c r="FP67" i="2"/>
  <c r="FQ67" i="2"/>
  <c r="FR67" i="2"/>
  <c r="FS67" i="2"/>
  <c r="FT67" i="2"/>
  <c r="FX67" i="2"/>
  <c r="D68" i="2"/>
  <c r="E68" i="2"/>
  <c r="F68" i="2"/>
  <c r="G68" i="2"/>
  <c r="H68" i="2"/>
  <c r="I68" i="2"/>
  <c r="J68" i="2"/>
  <c r="M68" i="2"/>
  <c r="N68" i="2"/>
  <c r="T68" i="2"/>
  <c r="U68" i="2"/>
  <c r="V68" i="2"/>
  <c r="W68" i="2"/>
  <c r="X68" i="2"/>
  <c r="AB68" i="2" s="1"/>
  <c r="Y68" i="2"/>
  <c r="Z68" i="2"/>
  <c r="AC68" i="2"/>
  <c r="AD68" i="2"/>
  <c r="AJ68" i="2"/>
  <c r="AK68" i="2"/>
  <c r="AL68" i="2"/>
  <c r="AM68" i="2"/>
  <c r="AN68" i="2"/>
  <c r="AO68" i="2"/>
  <c r="AP68" i="2"/>
  <c r="AS68" i="2"/>
  <c r="AT68" i="2"/>
  <c r="AZ68" i="2"/>
  <c r="BA68" i="2"/>
  <c r="BB68" i="2"/>
  <c r="BC68" i="2"/>
  <c r="BD68" i="2"/>
  <c r="BF68" i="2" s="1"/>
  <c r="BG68" i="2"/>
  <c r="BH68" i="2"/>
  <c r="BO68" i="2"/>
  <c r="BP68" i="2"/>
  <c r="BQ68" i="2"/>
  <c r="BR68" i="2"/>
  <c r="BS68" i="2"/>
  <c r="BW68" i="2"/>
  <c r="CD68" i="2"/>
  <c r="CE68" i="2"/>
  <c r="CF68" i="2"/>
  <c r="CG68" i="2"/>
  <c r="CH68" i="2"/>
  <c r="CL68" i="2"/>
  <c r="CS68" i="2"/>
  <c r="CT68" i="2"/>
  <c r="CU68" i="2"/>
  <c r="CV68" i="2"/>
  <c r="CW68" i="2"/>
  <c r="CX68" i="2"/>
  <c r="DA68" i="2"/>
  <c r="DH68" i="2"/>
  <c r="DI68" i="2"/>
  <c r="DJ68" i="2"/>
  <c r="DK68" i="2"/>
  <c r="DL68" i="2"/>
  <c r="DN68" i="2"/>
  <c r="DP68" i="2"/>
  <c r="DW68" i="2"/>
  <c r="DX68" i="2"/>
  <c r="DY68" i="2"/>
  <c r="DZ68" i="2"/>
  <c r="EA68" i="2"/>
  <c r="EE68" i="2"/>
  <c r="EL68" i="2"/>
  <c r="EM68" i="2"/>
  <c r="EN68" i="2"/>
  <c r="EO68" i="2"/>
  <c r="EP68" i="2"/>
  <c r="ET68" i="2"/>
  <c r="FA68" i="2"/>
  <c r="FB68" i="2"/>
  <c r="FC68" i="2"/>
  <c r="FD68" i="2"/>
  <c r="FE68" i="2"/>
  <c r="FF68" i="2"/>
  <c r="FI68" i="2"/>
  <c r="FP68" i="2"/>
  <c r="FQ68" i="2"/>
  <c r="FR68" i="2"/>
  <c r="FS68" i="2"/>
  <c r="FT68" i="2"/>
  <c r="FW68" i="2"/>
  <c r="FX68" i="2"/>
  <c r="D70" i="2"/>
  <c r="E70" i="2"/>
  <c r="F70" i="2"/>
  <c r="G70" i="2"/>
  <c r="H70" i="2"/>
  <c r="L70" i="2" s="1"/>
  <c r="M70" i="2"/>
  <c r="N70" i="2"/>
  <c r="O72" i="2"/>
  <c r="O73" i="2"/>
  <c r="U70" i="2"/>
  <c r="W70" i="2"/>
  <c r="X70" i="2"/>
  <c r="Z70" i="2"/>
  <c r="AC70" i="2"/>
  <c r="AD70" i="2"/>
  <c r="AE72" i="2"/>
  <c r="AK70" i="2"/>
  <c r="AM70" i="2"/>
  <c r="AN70" i="2"/>
  <c r="AS70" i="2"/>
  <c r="AT70" i="2"/>
  <c r="BA70" i="2"/>
  <c r="BC70" i="2"/>
  <c r="BD70" i="2"/>
  <c r="BI70" i="2"/>
  <c r="BI75" i="2"/>
  <c r="BJ72" i="2"/>
  <c r="BO70" i="2"/>
  <c r="BP70" i="2"/>
  <c r="BQ70" i="2"/>
  <c r="BR70" i="2"/>
  <c r="BS70" i="2"/>
  <c r="BW70" i="2"/>
  <c r="BX70" i="2"/>
  <c r="BY72" i="2"/>
  <c r="CE70" i="2"/>
  <c r="CG70" i="2"/>
  <c r="CH70" i="2"/>
  <c r="CM70" i="2"/>
  <c r="CS70" i="2"/>
  <c r="CT70" i="2"/>
  <c r="CU70" i="2"/>
  <c r="CV70" i="2"/>
  <c r="CW70" i="2"/>
  <c r="CZ70" i="2"/>
  <c r="DA70" i="2"/>
  <c r="DB70" i="2"/>
  <c r="DI70" i="2"/>
  <c r="DK70" i="2"/>
  <c r="DL70" i="2"/>
  <c r="DQ70" i="2"/>
  <c r="DW70" i="2"/>
  <c r="DX70" i="2"/>
  <c r="DY70" i="2"/>
  <c r="DZ70" i="2"/>
  <c r="EA70" i="2"/>
  <c r="EF70" i="2"/>
  <c r="EM70" i="2"/>
  <c r="EO70" i="2"/>
  <c r="EP70" i="2"/>
  <c r="EU70" i="2"/>
  <c r="FA70" i="2"/>
  <c r="FB70" i="2"/>
  <c r="FC70" i="2"/>
  <c r="FD70" i="2"/>
  <c r="FE70" i="2"/>
  <c r="FG70" i="2" s="1"/>
  <c r="FJ70" i="2"/>
  <c r="FK73" i="2"/>
  <c r="FQ70" i="2"/>
  <c r="FS70" i="2"/>
  <c r="FT70" i="2"/>
  <c r="FY70" i="2"/>
  <c r="D71" i="2"/>
  <c r="E71" i="2"/>
  <c r="F71" i="2"/>
  <c r="G71" i="2"/>
  <c r="H71" i="2"/>
  <c r="I71" i="2"/>
  <c r="J71" i="2"/>
  <c r="M71" i="2"/>
  <c r="N71" i="2"/>
  <c r="T71" i="2"/>
  <c r="U71" i="2"/>
  <c r="V71" i="2"/>
  <c r="W71" i="2"/>
  <c r="X71" i="2"/>
  <c r="AB71" i="2" s="1"/>
  <c r="Y71" i="2"/>
  <c r="Z71" i="2"/>
  <c r="AC71" i="2"/>
  <c r="AD71" i="2"/>
  <c r="AJ71" i="2"/>
  <c r="AK71" i="2"/>
  <c r="AL71" i="2"/>
  <c r="AM71" i="2"/>
  <c r="AN71" i="2"/>
  <c r="AR71" i="2" s="1"/>
  <c r="AP71" i="2"/>
  <c r="AS71" i="2"/>
  <c r="AS114" i="2" s="1"/>
  <c r="AT71" i="2"/>
  <c r="AT114" i="2"/>
  <c r="AZ71" i="2"/>
  <c r="BA71" i="2"/>
  <c r="BB71" i="2"/>
  <c r="BC71" i="2"/>
  <c r="BD71" i="2"/>
  <c r="BE71" i="2"/>
  <c r="BH71" i="2"/>
  <c r="BO71" i="2"/>
  <c r="BP71" i="2"/>
  <c r="BQ71" i="2"/>
  <c r="BR71" i="2"/>
  <c r="BS71" i="2"/>
  <c r="BU71" i="2" s="1"/>
  <c r="BW71" i="2"/>
  <c r="CD71" i="2"/>
  <c r="CE71" i="2"/>
  <c r="CF71" i="2"/>
  <c r="CG71" i="2"/>
  <c r="CH71" i="2"/>
  <c r="CK71" i="2" s="1"/>
  <c r="CI71" i="2"/>
  <c r="CL71" i="2"/>
  <c r="CS71" i="2"/>
  <c r="CT71" i="2"/>
  <c r="CU71" i="2"/>
  <c r="CV71" i="2"/>
  <c r="CW71" i="2"/>
  <c r="DA71" i="2"/>
  <c r="DH71" i="2"/>
  <c r="DI71" i="2"/>
  <c r="DJ71" i="2"/>
  <c r="DK71" i="2"/>
  <c r="DL71" i="2"/>
  <c r="DM71" i="2"/>
  <c r="DP71" i="2"/>
  <c r="DW71" i="2"/>
  <c r="DX71" i="2"/>
  <c r="DY71" i="2"/>
  <c r="DZ71" i="2"/>
  <c r="EA71" i="2"/>
  <c r="EE71" i="2"/>
  <c r="EL71" i="2"/>
  <c r="EM71" i="2"/>
  <c r="EN71" i="2"/>
  <c r="EO71" i="2"/>
  <c r="EP71" i="2"/>
  <c r="EQ71" i="2"/>
  <c r="ES71" i="2"/>
  <c r="ET71" i="2"/>
  <c r="FA71" i="2"/>
  <c r="FB71" i="2"/>
  <c r="FC71" i="2"/>
  <c r="FD71" i="2"/>
  <c r="FE71" i="2"/>
  <c r="FI71" i="2"/>
  <c r="FP71" i="2"/>
  <c r="FQ71" i="2"/>
  <c r="FR71" i="2"/>
  <c r="FS71" i="2"/>
  <c r="FT71" i="2"/>
  <c r="FU71" i="2"/>
  <c r="FX71" i="2"/>
  <c r="D72" i="2"/>
  <c r="E72" i="2"/>
  <c r="F72" i="2"/>
  <c r="G72" i="2"/>
  <c r="H72" i="2"/>
  <c r="L72" i="2" s="1"/>
  <c r="I72" i="2"/>
  <c r="J72" i="2"/>
  <c r="M72" i="2"/>
  <c r="N72" i="2"/>
  <c r="T72" i="2"/>
  <c r="U72" i="2"/>
  <c r="V72" i="2"/>
  <c r="W72" i="2"/>
  <c r="X72" i="2"/>
  <c r="AB72" i="2" s="1"/>
  <c r="Y72" i="2"/>
  <c r="Z72" i="2"/>
  <c r="AC72" i="2"/>
  <c r="AD72" i="2"/>
  <c r="AJ72" i="2"/>
  <c r="AK72" i="2"/>
  <c r="AL72" i="2"/>
  <c r="AM72" i="2"/>
  <c r="AN72" i="2"/>
  <c r="AR72" i="2" s="1"/>
  <c r="AQ72" i="2"/>
  <c r="AO72" i="2"/>
  <c r="AP72" i="2"/>
  <c r="AS72" i="2"/>
  <c r="AT72" i="2"/>
  <c r="AT115" i="2" s="1"/>
  <c r="AZ72" i="2"/>
  <c r="BA72" i="2"/>
  <c r="BB72" i="2"/>
  <c r="BC72" i="2"/>
  <c r="BD72" i="2"/>
  <c r="BE72" i="2"/>
  <c r="BH72" i="2"/>
  <c r="BO72" i="2"/>
  <c r="BP72" i="2"/>
  <c r="BQ72" i="2"/>
  <c r="BR72" i="2"/>
  <c r="BS72" i="2"/>
  <c r="BT72" i="2"/>
  <c r="BW72" i="2"/>
  <c r="CD72" i="2"/>
  <c r="CE72" i="2"/>
  <c r="CF72" i="2"/>
  <c r="CG72" i="2"/>
  <c r="CH72" i="2"/>
  <c r="CI72" i="2"/>
  <c r="CL72" i="2"/>
  <c r="CS72" i="2"/>
  <c r="CT72" i="2"/>
  <c r="CU72" i="2"/>
  <c r="CV72" i="2"/>
  <c r="CW72" i="2"/>
  <c r="CX72" i="2"/>
  <c r="DA72" i="2"/>
  <c r="DH72" i="2"/>
  <c r="DI72" i="2"/>
  <c r="DJ72" i="2"/>
  <c r="DK72" i="2"/>
  <c r="DL72" i="2"/>
  <c r="DM72" i="2"/>
  <c r="DP72" i="2"/>
  <c r="DW72" i="2"/>
  <c r="DX72" i="2"/>
  <c r="DY72" i="2"/>
  <c r="DZ72" i="2"/>
  <c r="EA72" i="2"/>
  <c r="ED72" i="2"/>
  <c r="EB72" i="2"/>
  <c r="EE72" i="2"/>
  <c r="EL72" i="2"/>
  <c r="EM72" i="2"/>
  <c r="EN72" i="2"/>
  <c r="EO72" i="2"/>
  <c r="EP72" i="2"/>
  <c r="EQ72" i="2"/>
  <c r="ET72" i="2"/>
  <c r="FA72" i="2"/>
  <c r="FB72" i="2"/>
  <c r="FC72" i="2"/>
  <c r="FD72" i="2"/>
  <c r="FE72" i="2"/>
  <c r="FF72" i="2"/>
  <c r="FI72" i="2"/>
  <c r="FP72" i="2"/>
  <c r="FQ72" i="2"/>
  <c r="FR72" i="2"/>
  <c r="FS72" i="2"/>
  <c r="FT72" i="2"/>
  <c r="FU72" i="2"/>
  <c r="FX72" i="2"/>
  <c r="D73" i="2"/>
  <c r="E73" i="2"/>
  <c r="F73" i="2"/>
  <c r="G73" i="2"/>
  <c r="H73" i="2"/>
  <c r="I73" i="2"/>
  <c r="J73" i="2"/>
  <c r="M73" i="2"/>
  <c r="N73" i="2"/>
  <c r="T73" i="2"/>
  <c r="U73" i="2"/>
  <c r="V73" i="2"/>
  <c r="W73" i="2"/>
  <c r="X73" i="2"/>
  <c r="AB73" i="2" s="1"/>
  <c r="Y73" i="2"/>
  <c r="Z73" i="2"/>
  <c r="AC73" i="2"/>
  <c r="AD73" i="2"/>
  <c r="AJ73" i="2"/>
  <c r="AK73" i="2"/>
  <c r="AL73" i="2"/>
  <c r="AM73" i="2"/>
  <c r="AN73" i="2"/>
  <c r="AP73" i="2"/>
  <c r="AS73" i="2"/>
  <c r="AT73" i="2"/>
  <c r="AZ73" i="2"/>
  <c r="BA73" i="2"/>
  <c r="BB73" i="2"/>
  <c r="BC73" i="2"/>
  <c r="BD73" i="2"/>
  <c r="BF73" i="2" s="1"/>
  <c r="BE73" i="2"/>
  <c r="BH73" i="2"/>
  <c r="BO73" i="2"/>
  <c r="BP73" i="2"/>
  <c r="BP75" i="2"/>
  <c r="BQ73" i="2"/>
  <c r="BR73" i="2"/>
  <c r="BS73" i="2"/>
  <c r="BW73" i="2"/>
  <c r="CD73" i="2"/>
  <c r="CE73" i="2"/>
  <c r="CF73" i="2"/>
  <c r="CG73" i="2"/>
  <c r="CH73" i="2"/>
  <c r="CI73" i="2"/>
  <c r="CL73" i="2"/>
  <c r="CS73" i="2"/>
  <c r="CT73" i="2"/>
  <c r="CU73" i="2"/>
  <c r="CV73" i="2"/>
  <c r="CW73" i="2"/>
  <c r="CY73" i="2"/>
  <c r="DA73" i="2"/>
  <c r="DH73" i="2"/>
  <c r="DI73" i="2"/>
  <c r="DJ73" i="2"/>
  <c r="DK73" i="2"/>
  <c r="DL73" i="2"/>
  <c r="DM73" i="2"/>
  <c r="DP73" i="2"/>
  <c r="DW73" i="2"/>
  <c r="DX73" i="2"/>
  <c r="DY73" i="2"/>
  <c r="DZ73" i="2"/>
  <c r="EA73" i="2"/>
  <c r="EE73" i="2"/>
  <c r="EL73" i="2"/>
  <c r="EM73" i="2"/>
  <c r="EN73" i="2"/>
  <c r="EO73" i="2"/>
  <c r="EP73" i="2"/>
  <c r="EQ73" i="2"/>
  <c r="ET73" i="2"/>
  <c r="FA73" i="2"/>
  <c r="FB73" i="2"/>
  <c r="FC73" i="2"/>
  <c r="FD73" i="2"/>
  <c r="FE73" i="2"/>
  <c r="FG73" i="2" s="1"/>
  <c r="FI73" i="2"/>
  <c r="FP73" i="2"/>
  <c r="FQ73" i="2"/>
  <c r="FR73" i="2"/>
  <c r="FS73" i="2"/>
  <c r="FT73" i="2"/>
  <c r="FU73" i="2"/>
  <c r="FX73" i="2"/>
  <c r="D75" i="2"/>
  <c r="N75" i="2"/>
  <c r="AL75" i="2"/>
  <c r="AT75" i="2"/>
  <c r="BX75" i="2"/>
  <c r="CM75" i="2"/>
  <c r="CT75" i="2"/>
  <c r="CV75" i="2"/>
  <c r="DB75" i="2"/>
  <c r="DI75" i="2"/>
  <c r="DQ75" i="2"/>
  <c r="EF75" i="2"/>
  <c r="EU75" i="2"/>
  <c r="FJ75" i="2"/>
  <c r="FQ75" i="2"/>
  <c r="FY75" i="2"/>
  <c r="D78" i="2"/>
  <c r="I78" i="2"/>
  <c r="L78" i="2"/>
  <c r="FU78" i="2"/>
  <c r="FV78" i="2"/>
  <c r="FW78" i="2"/>
  <c r="D79" i="2"/>
  <c r="G79" i="2"/>
  <c r="FU79" i="2"/>
  <c r="FV79" i="2"/>
  <c r="FW79" i="2"/>
  <c r="FX79" i="2"/>
  <c r="FZ79" i="2"/>
  <c r="G80" i="2"/>
  <c r="I80" i="2"/>
  <c r="O80" i="2" s="1"/>
  <c r="K80" i="2"/>
  <c r="L80" i="2"/>
  <c r="FU80" i="2"/>
  <c r="FZ80" i="2" s="1"/>
  <c r="FV80" i="2"/>
  <c r="FW80" i="2"/>
  <c r="I81" i="2"/>
  <c r="O81" i="2" s="1"/>
  <c r="K81" i="2"/>
  <c r="L81" i="2"/>
  <c r="FU81" i="2"/>
  <c r="FZ81" i="2" s="1"/>
  <c r="FV81" i="2"/>
  <c r="FW81" i="2"/>
  <c r="I82" i="2"/>
  <c r="O82" i="2" s="1"/>
  <c r="K82" i="2"/>
  <c r="L82" i="2"/>
  <c r="FU82" i="2"/>
  <c r="FZ82" i="2" s="1"/>
  <c r="FV82" i="2"/>
  <c r="FW82" i="2"/>
  <c r="I83" i="2"/>
  <c r="O83" i="2" s="1"/>
  <c r="K83" i="2"/>
  <c r="L83" i="2"/>
  <c r="FU83" i="2"/>
  <c r="FZ83" i="2" s="1"/>
  <c r="FV83" i="2"/>
  <c r="FW83" i="2"/>
  <c r="I84" i="2"/>
  <c r="O84" i="2" s="1"/>
  <c r="K84" i="2"/>
  <c r="L84" i="2"/>
  <c r="FU84" i="2"/>
  <c r="FZ84" i="2" s="1"/>
  <c r="FV84" i="2"/>
  <c r="FW84" i="2"/>
  <c r="I85" i="2"/>
  <c r="O85" i="2" s="1"/>
  <c r="K85" i="2"/>
  <c r="L85" i="2"/>
  <c r="FU85" i="2"/>
  <c r="FZ85" i="2" s="1"/>
  <c r="FV85" i="2"/>
  <c r="FW85" i="2"/>
  <c r="I86" i="2"/>
  <c r="O86" i="2" s="1"/>
  <c r="K86" i="2"/>
  <c r="L86" i="2"/>
  <c r="FU86" i="2"/>
  <c r="FZ86" i="2" s="1"/>
  <c r="FV86" i="2"/>
  <c r="FW86" i="2"/>
  <c r="D87" i="2"/>
  <c r="E87" i="2"/>
  <c r="F87" i="2"/>
  <c r="M87" i="2"/>
  <c r="FP87" i="2"/>
  <c r="FQ87" i="2"/>
  <c r="FR87" i="2"/>
  <c r="FS87" i="2"/>
  <c r="FX87" i="2"/>
  <c r="FY87" i="2"/>
  <c r="I90" i="2"/>
  <c r="O90" i="2"/>
  <c r="K90" i="2"/>
  <c r="L90" i="2"/>
  <c r="FU90" i="2"/>
  <c r="FZ90" i="2"/>
  <c r="FV90" i="2"/>
  <c r="FW90" i="2"/>
  <c r="I92" i="2"/>
  <c r="O92" i="2"/>
  <c r="K92" i="2"/>
  <c r="L92" i="2"/>
  <c r="FU92" i="2"/>
  <c r="FZ92" i="2"/>
  <c r="FV92" i="2"/>
  <c r="FW92" i="2"/>
  <c r="I93" i="2"/>
  <c r="O93" i="2"/>
  <c r="K93" i="2"/>
  <c r="L93" i="2"/>
  <c r="FU93" i="2"/>
  <c r="FZ93" i="2"/>
  <c r="FV93" i="2"/>
  <c r="FW93" i="2"/>
  <c r="I95" i="2"/>
  <c r="O95" i="2"/>
  <c r="K95" i="2"/>
  <c r="L95" i="2"/>
  <c r="FP95" i="2"/>
  <c r="FS95" i="2"/>
  <c r="FW95" i="2" s="1"/>
  <c r="FV95" i="2"/>
  <c r="FX95" i="2"/>
  <c r="D97" i="2"/>
  <c r="G97" i="2"/>
  <c r="L97" i="2" s="1"/>
  <c r="I97" i="2"/>
  <c r="M97" i="2"/>
  <c r="O97" i="2"/>
  <c r="FP97" i="2"/>
  <c r="FS97" i="2"/>
  <c r="FW97" i="2" s="1"/>
  <c r="FV97" i="2"/>
  <c r="FX97" i="2"/>
  <c r="AJ101" i="2"/>
  <c r="AK101" i="2"/>
  <c r="AL101" i="2"/>
  <c r="AM101" i="2"/>
  <c r="AN101" i="2"/>
  <c r="AP101" i="2"/>
  <c r="AT101" i="2"/>
  <c r="AU103" i="2"/>
  <c r="CD101" i="2"/>
  <c r="CE101" i="2"/>
  <c r="CF101" i="2"/>
  <c r="CG101" i="2"/>
  <c r="CH101" i="2"/>
  <c r="CM101" i="2"/>
  <c r="CN102" i="2"/>
  <c r="DW101" i="2"/>
  <c r="DX101" i="2"/>
  <c r="DY101" i="2"/>
  <c r="DZ101" i="2"/>
  <c r="EA101" i="2"/>
  <c r="ED101" i="2"/>
  <c r="EF101" i="2"/>
  <c r="EG102" i="2"/>
  <c r="FP101" i="2"/>
  <c r="FQ101" i="2"/>
  <c r="FR101" i="2"/>
  <c r="FS101" i="2"/>
  <c r="FT101" i="2"/>
  <c r="FY101" i="2"/>
  <c r="FZ102" i="2"/>
  <c r="AJ102" i="2"/>
  <c r="AK102" i="2"/>
  <c r="AL102" i="2"/>
  <c r="AM102" i="2"/>
  <c r="AN102" i="2"/>
  <c r="AO102" i="2"/>
  <c r="AP102" i="2"/>
  <c r="AS102" i="2"/>
  <c r="CD102" i="2"/>
  <c r="CE102" i="2"/>
  <c r="CF102" i="2"/>
  <c r="CG102" i="2"/>
  <c r="CH102" i="2"/>
  <c r="CK102" i="2"/>
  <c r="CI102" i="2"/>
  <c r="CL102" i="2"/>
  <c r="DW102" i="2"/>
  <c r="DX102" i="2"/>
  <c r="DY102" i="2"/>
  <c r="DZ102" i="2"/>
  <c r="EA102" i="2"/>
  <c r="EB102" i="2"/>
  <c r="EE102" i="2"/>
  <c r="FP102" i="2"/>
  <c r="FQ102" i="2"/>
  <c r="FR102" i="2"/>
  <c r="FS102" i="2"/>
  <c r="FT102" i="2"/>
  <c r="FW102" i="2"/>
  <c r="FU102" i="2"/>
  <c r="FX102" i="2"/>
  <c r="AJ103" i="2"/>
  <c r="AK103" i="2"/>
  <c r="AL103" i="2"/>
  <c r="AM103" i="2"/>
  <c r="AN103" i="2"/>
  <c r="AO103" i="2"/>
  <c r="AP103" i="2"/>
  <c r="AS103" i="2"/>
  <c r="CD103" i="2"/>
  <c r="CE103" i="2"/>
  <c r="CF103" i="2"/>
  <c r="CG103" i="2"/>
  <c r="CH103" i="2"/>
  <c r="CJ103" i="2" s="1"/>
  <c r="CI103" i="2"/>
  <c r="CL103" i="2"/>
  <c r="DW103" i="2"/>
  <c r="DX103" i="2"/>
  <c r="DY103" i="2"/>
  <c r="DZ103" i="2"/>
  <c r="EA103" i="2"/>
  <c r="EB103" i="2"/>
  <c r="EE103" i="2"/>
  <c r="FP103" i="2"/>
  <c r="FQ103" i="2"/>
  <c r="FR103" i="2"/>
  <c r="FS103" i="2"/>
  <c r="FT103" i="2"/>
  <c r="FU103" i="2"/>
  <c r="FX103" i="2"/>
  <c r="AJ104" i="2"/>
  <c r="AK104" i="2"/>
  <c r="AL104" i="2"/>
  <c r="AM104" i="2"/>
  <c r="AN104" i="2"/>
  <c r="AP104" i="2"/>
  <c r="AU106" i="2"/>
  <c r="CD104" i="2"/>
  <c r="CE104" i="2"/>
  <c r="CF104" i="2"/>
  <c r="CG104" i="2"/>
  <c r="CH104" i="2"/>
  <c r="CL104" i="2"/>
  <c r="CM104" i="2"/>
  <c r="CN105" i="2"/>
  <c r="DW104" i="2"/>
  <c r="DX104" i="2"/>
  <c r="DY104" i="2"/>
  <c r="DZ104" i="2"/>
  <c r="EA104" i="2"/>
  <c r="EE104" i="2"/>
  <c r="EF104" i="2"/>
  <c r="EG105" i="2"/>
  <c r="FP104" i="2"/>
  <c r="FQ104" i="2"/>
  <c r="FR104" i="2"/>
  <c r="FS104" i="2"/>
  <c r="FT104" i="2"/>
  <c r="FX104" i="2"/>
  <c r="FY104" i="2"/>
  <c r="FZ105" i="2"/>
  <c r="AJ105" i="2"/>
  <c r="AK105" i="2"/>
  <c r="AL105" i="2"/>
  <c r="AM105" i="2"/>
  <c r="AN105" i="2"/>
  <c r="AO105" i="2"/>
  <c r="AP105" i="2"/>
  <c r="AS105" i="2"/>
  <c r="CD105" i="2"/>
  <c r="CE105" i="2"/>
  <c r="CF105" i="2"/>
  <c r="CG105" i="2"/>
  <c r="CH105" i="2"/>
  <c r="CK105" i="2" s="1"/>
  <c r="CI105" i="2"/>
  <c r="CL105" i="2"/>
  <c r="DW105" i="2"/>
  <c r="DX105" i="2"/>
  <c r="DY105" i="2"/>
  <c r="DZ105" i="2"/>
  <c r="EA105" i="2"/>
  <c r="EC105" i="2" s="1"/>
  <c r="EB105" i="2"/>
  <c r="EE105" i="2"/>
  <c r="FP105" i="2"/>
  <c r="FQ105" i="2"/>
  <c r="FR105" i="2"/>
  <c r="FS105" i="2"/>
  <c r="FT105" i="2"/>
  <c r="FW105" i="2" s="1"/>
  <c r="FU105" i="2"/>
  <c r="FX105" i="2"/>
  <c r="AJ106" i="2"/>
  <c r="AK106" i="2"/>
  <c r="AL106" i="2"/>
  <c r="AM106" i="2"/>
  <c r="AN106" i="2"/>
  <c r="AO106" i="2"/>
  <c r="AP106" i="2"/>
  <c r="AT106" i="2"/>
  <c r="CD106" i="2"/>
  <c r="CE106" i="2"/>
  <c r="CF106" i="2"/>
  <c r="CG106" i="2"/>
  <c r="CH106" i="2"/>
  <c r="CI106" i="2"/>
  <c r="CL106" i="2"/>
  <c r="DW106" i="2"/>
  <c r="DX106" i="2"/>
  <c r="DY106" i="2"/>
  <c r="DZ106" i="2"/>
  <c r="EA106" i="2"/>
  <c r="ED106" i="2"/>
  <c r="EB106" i="2"/>
  <c r="EE106" i="2"/>
  <c r="FP106" i="2"/>
  <c r="FQ106" i="2"/>
  <c r="FR106" i="2"/>
  <c r="FS106" i="2"/>
  <c r="FT106" i="2"/>
  <c r="FU106" i="2"/>
  <c r="FX106" i="2"/>
  <c r="AJ107" i="2"/>
  <c r="AK107" i="2"/>
  <c r="AL107" i="2"/>
  <c r="AM107" i="2"/>
  <c r="AN107" i="2"/>
  <c r="AP107" i="2"/>
  <c r="AU109" i="2"/>
  <c r="CD107" i="2"/>
  <c r="CE107" i="2"/>
  <c r="CF107" i="2"/>
  <c r="CG107" i="2"/>
  <c r="CH107" i="2"/>
  <c r="CJ107" i="2" s="1"/>
  <c r="CM107" i="2"/>
  <c r="DW107" i="2"/>
  <c r="DX107" i="2"/>
  <c r="DY107" i="2"/>
  <c r="DZ107" i="2"/>
  <c r="EA107" i="2"/>
  <c r="EE107" i="2"/>
  <c r="EF107" i="2"/>
  <c r="EG108" i="2"/>
  <c r="FP107" i="2"/>
  <c r="FQ107" i="2"/>
  <c r="FR107" i="2"/>
  <c r="FS107" i="2"/>
  <c r="FT107" i="2"/>
  <c r="FX107" i="2"/>
  <c r="FY107" i="2"/>
  <c r="AJ108" i="2"/>
  <c r="AK108" i="2"/>
  <c r="AL108" i="2"/>
  <c r="AM108" i="2"/>
  <c r="AN108" i="2"/>
  <c r="AR108" i="2" s="1"/>
  <c r="AO108" i="2"/>
  <c r="AP108" i="2"/>
  <c r="AQ108" i="2"/>
  <c r="AS108" i="2"/>
  <c r="CD108" i="2"/>
  <c r="CE108" i="2"/>
  <c r="CF108" i="2"/>
  <c r="CG108" i="2"/>
  <c r="CH108" i="2"/>
  <c r="CI108" i="2"/>
  <c r="CL108" i="2"/>
  <c r="DW108" i="2"/>
  <c r="DX108" i="2"/>
  <c r="DY108" i="2"/>
  <c r="DZ108" i="2"/>
  <c r="EA108" i="2"/>
  <c r="EB108" i="2"/>
  <c r="EE108" i="2"/>
  <c r="FP108" i="2"/>
  <c r="FQ108" i="2"/>
  <c r="FR108" i="2"/>
  <c r="FS108" i="2"/>
  <c r="FT108" i="2"/>
  <c r="FW108" i="2"/>
  <c r="FU108" i="2"/>
  <c r="FX108" i="2"/>
  <c r="AJ109" i="2"/>
  <c r="AK109" i="2"/>
  <c r="AL109" i="2"/>
  <c r="AM109" i="2"/>
  <c r="AN109" i="2"/>
  <c r="AO109" i="2"/>
  <c r="AP109" i="2"/>
  <c r="AS109" i="2"/>
  <c r="AT109" i="2"/>
  <c r="CD109" i="2"/>
  <c r="CE109" i="2"/>
  <c r="CF109" i="2"/>
  <c r="CG109" i="2"/>
  <c r="CH109" i="2"/>
  <c r="CI109" i="2"/>
  <c r="CL109" i="2"/>
  <c r="DW109" i="2"/>
  <c r="DX109" i="2"/>
  <c r="DY109" i="2"/>
  <c r="DZ109" i="2"/>
  <c r="EA109" i="2"/>
  <c r="EB109" i="2"/>
  <c r="ED109" i="2"/>
  <c r="EE109" i="2"/>
  <c r="FP109" i="2"/>
  <c r="FQ109" i="2"/>
  <c r="FR109" i="2"/>
  <c r="FS109" i="2"/>
  <c r="FT109" i="2"/>
  <c r="FU109" i="2"/>
  <c r="FX109" i="2"/>
  <c r="AK110" i="2"/>
  <c r="AM110" i="2"/>
  <c r="AN110" i="2"/>
  <c r="AS110" i="2"/>
  <c r="AT110" i="2"/>
  <c r="CD110" i="2"/>
  <c r="CE110" i="2"/>
  <c r="CF110" i="2"/>
  <c r="CG110" i="2"/>
  <c r="CH110" i="2"/>
  <c r="CK110" i="2"/>
  <c r="CL110" i="2"/>
  <c r="CM110" i="2"/>
  <c r="CN112" i="2"/>
  <c r="DW110" i="2"/>
  <c r="DX110" i="2"/>
  <c r="DY110" i="2"/>
  <c r="DZ110" i="2"/>
  <c r="EA110" i="2"/>
  <c r="EE110" i="2"/>
  <c r="EF110" i="2"/>
  <c r="EG111" i="2"/>
  <c r="EG112" i="2"/>
  <c r="EG110" i="2"/>
  <c r="FP110" i="2"/>
  <c r="FQ110" i="2"/>
  <c r="FR110" i="2"/>
  <c r="FS110" i="2"/>
  <c r="FT110" i="2"/>
  <c r="FX110" i="2"/>
  <c r="FY110" i="2"/>
  <c r="FZ111" i="2"/>
  <c r="FZ112" i="2"/>
  <c r="AJ111" i="2"/>
  <c r="AK111" i="2"/>
  <c r="AL111" i="2"/>
  <c r="AM111" i="2"/>
  <c r="AN111" i="2"/>
  <c r="AP111" i="2"/>
  <c r="AT111" i="2"/>
  <c r="CD111" i="2"/>
  <c r="CE111" i="2"/>
  <c r="CF111" i="2"/>
  <c r="CG111" i="2"/>
  <c r="CH111" i="2"/>
  <c r="CI111" i="2"/>
  <c r="CK111" i="2"/>
  <c r="CL111" i="2"/>
  <c r="DW111" i="2"/>
  <c r="DX111" i="2"/>
  <c r="DY111" i="2"/>
  <c r="DZ111" i="2"/>
  <c r="EA111" i="2"/>
  <c r="EB111" i="2"/>
  <c r="EE111" i="2"/>
  <c r="FP111" i="2"/>
  <c r="FQ111" i="2"/>
  <c r="FR111" i="2"/>
  <c r="FS111" i="2"/>
  <c r="FT111" i="2"/>
  <c r="FU111" i="2"/>
  <c r="FX111" i="2"/>
  <c r="AJ112" i="2"/>
  <c r="AK112" i="2"/>
  <c r="AL112" i="2"/>
  <c r="AM112" i="2"/>
  <c r="AN112" i="2"/>
  <c r="AP112" i="2"/>
  <c r="AS112" i="2"/>
  <c r="AT112" i="2"/>
  <c r="CD112" i="2"/>
  <c r="CE112" i="2"/>
  <c r="CF112" i="2"/>
  <c r="CG112" i="2"/>
  <c r="CH112" i="2"/>
  <c r="CI112" i="2"/>
  <c r="CL112" i="2"/>
  <c r="DW112" i="2"/>
  <c r="DX112" i="2"/>
  <c r="DY112" i="2"/>
  <c r="DZ112" i="2"/>
  <c r="EA112" i="2"/>
  <c r="ED112" i="2" s="1"/>
  <c r="EB112" i="2"/>
  <c r="EE112" i="2"/>
  <c r="FP112" i="2"/>
  <c r="FQ112" i="2"/>
  <c r="FR112" i="2"/>
  <c r="FS112" i="2"/>
  <c r="FT112" i="2"/>
  <c r="FU112" i="2"/>
  <c r="FX112" i="2"/>
  <c r="AJ113" i="2"/>
  <c r="AK113" i="2"/>
  <c r="AL113" i="2"/>
  <c r="AM113" i="2"/>
  <c r="AN113" i="2"/>
  <c r="AQ113" i="2" s="1"/>
  <c r="AP113" i="2"/>
  <c r="AT113" i="2"/>
  <c r="CD113" i="2"/>
  <c r="CE113" i="2"/>
  <c r="CF113" i="2"/>
  <c r="CG113" i="2"/>
  <c r="CH113" i="2"/>
  <c r="CK113" i="2"/>
  <c r="CL113" i="2"/>
  <c r="CM113" i="2"/>
  <c r="CN116" i="2"/>
  <c r="DW113" i="2"/>
  <c r="DX113" i="2"/>
  <c r="DY113" i="2"/>
  <c r="DZ113" i="2"/>
  <c r="EA113" i="2"/>
  <c r="EF113" i="2"/>
  <c r="EG116" i="2"/>
  <c r="FP113" i="2"/>
  <c r="FQ113" i="2"/>
  <c r="FR113" i="2"/>
  <c r="FS113" i="2"/>
  <c r="FT113" i="2"/>
  <c r="FW113" i="2"/>
  <c r="FX113" i="2"/>
  <c r="FY113" i="2"/>
  <c r="FZ116" i="2"/>
  <c r="AJ114" i="2"/>
  <c r="AK114" i="2"/>
  <c r="AL114" i="2"/>
  <c r="AM114" i="2"/>
  <c r="AN114" i="2"/>
  <c r="AR114" i="2" s="1"/>
  <c r="AO114" i="2"/>
  <c r="AP114" i="2"/>
  <c r="AQ114" i="2"/>
  <c r="CD114" i="2"/>
  <c r="CE114" i="2"/>
  <c r="CF114" i="2"/>
  <c r="CG114" i="2"/>
  <c r="CH114" i="2"/>
  <c r="CI114" i="2"/>
  <c r="CJ114" i="2"/>
  <c r="CL114" i="2"/>
  <c r="DW114" i="2"/>
  <c r="DX114" i="2"/>
  <c r="DY114" i="2"/>
  <c r="DZ114" i="2"/>
  <c r="EA114" i="2"/>
  <c r="EB114" i="2"/>
  <c r="EE114" i="2"/>
  <c r="FP114" i="2"/>
  <c r="FQ114" i="2"/>
  <c r="FR114" i="2"/>
  <c r="FS114" i="2"/>
  <c r="FT114" i="2"/>
  <c r="FU114" i="2"/>
  <c r="FV114" i="2"/>
  <c r="FX114" i="2"/>
  <c r="AJ115" i="2"/>
  <c r="AK115" i="2"/>
  <c r="AL115" i="2"/>
  <c r="AM115" i="2"/>
  <c r="AN115" i="2"/>
  <c r="AO115" i="2"/>
  <c r="AP115" i="2"/>
  <c r="AS115" i="2"/>
  <c r="CD115" i="2"/>
  <c r="CE115" i="2"/>
  <c r="CF115" i="2"/>
  <c r="CG115" i="2"/>
  <c r="CH115" i="2"/>
  <c r="CI115" i="2"/>
  <c r="CL115" i="2"/>
  <c r="DW115" i="2"/>
  <c r="DX115" i="2"/>
  <c r="DY115" i="2"/>
  <c r="DZ115" i="2"/>
  <c r="EA115" i="2"/>
  <c r="EB115" i="2"/>
  <c r="EE115" i="2"/>
  <c r="FP115" i="2"/>
  <c r="FQ115" i="2"/>
  <c r="FR115" i="2"/>
  <c r="FS115" i="2"/>
  <c r="FT115" i="2"/>
  <c r="FU115" i="2"/>
  <c r="FX115" i="2"/>
  <c r="AJ116" i="2"/>
  <c r="AK116" i="2"/>
  <c r="AL116" i="2"/>
  <c r="AM116" i="2"/>
  <c r="AN116" i="2"/>
  <c r="AO116" i="2"/>
  <c r="AP116" i="2"/>
  <c r="AS116" i="2"/>
  <c r="CD116" i="2"/>
  <c r="CE116" i="2"/>
  <c r="CF116" i="2"/>
  <c r="CG116" i="2"/>
  <c r="CH116" i="2"/>
  <c r="CK116" i="2"/>
  <c r="CI116" i="2"/>
  <c r="CL116" i="2"/>
  <c r="DW116" i="2"/>
  <c r="DX116" i="2"/>
  <c r="DY116" i="2"/>
  <c r="DZ116" i="2"/>
  <c r="EA116" i="2"/>
  <c r="EB116" i="2"/>
  <c r="EE116" i="2"/>
  <c r="FP116" i="2"/>
  <c r="FQ116" i="2"/>
  <c r="FR116" i="2"/>
  <c r="FS116" i="2"/>
  <c r="FT116" i="2"/>
  <c r="FW116" i="2" s="1"/>
  <c r="FU116" i="2"/>
  <c r="FX116" i="2"/>
  <c r="AM117" i="2"/>
  <c r="K4" i="8"/>
  <c r="L4" i="8"/>
  <c r="N4" i="8"/>
  <c r="O4" i="8"/>
  <c r="R4" i="8"/>
  <c r="S4" i="8"/>
  <c r="T4" i="8"/>
  <c r="U4" i="8"/>
  <c r="V4" i="8"/>
  <c r="X4" i="8"/>
  <c r="Y4" i="8"/>
  <c r="Z4" i="8"/>
  <c r="AA4" i="8"/>
  <c r="AB4" i="8"/>
  <c r="AQ4" i="8"/>
  <c r="AV4" i="8" s="1"/>
  <c r="AR4" i="8"/>
  <c r="AS4" i="8"/>
  <c r="AX4" i="8"/>
  <c r="AT4" i="8"/>
  <c r="AU4" i="8"/>
  <c r="AZ4" i="8" s="1"/>
  <c r="AW4" i="8"/>
  <c r="AY4" i="8"/>
  <c r="K5" i="8"/>
  <c r="L5" i="8"/>
  <c r="N5" i="8"/>
  <c r="O5" i="8"/>
  <c r="R5" i="8"/>
  <c r="S5" i="8"/>
  <c r="T5" i="8"/>
  <c r="U5" i="8"/>
  <c r="V5" i="8"/>
  <c r="X5" i="8"/>
  <c r="Y5" i="8"/>
  <c r="Z5" i="8"/>
  <c r="AA5" i="8"/>
  <c r="AB5" i="8"/>
  <c r="AQ5" i="8"/>
  <c r="AV5" i="8" s="1"/>
  <c r="AR5" i="8"/>
  <c r="AS5" i="8"/>
  <c r="AX5" i="8"/>
  <c r="AT5" i="8"/>
  <c r="AU5" i="8"/>
  <c r="AZ5" i="8" s="1"/>
  <c r="AW5" i="8"/>
  <c r="AY5" i="8"/>
  <c r="K6" i="8"/>
  <c r="L6" i="8"/>
  <c r="N6" i="8"/>
  <c r="O6" i="8"/>
  <c r="R6" i="8"/>
  <c r="S6" i="8"/>
  <c r="T6" i="8"/>
  <c r="U6" i="8"/>
  <c r="V6" i="8"/>
  <c r="X6" i="8"/>
  <c r="Y6" i="8"/>
  <c r="Z6" i="8"/>
  <c r="AA6" i="8"/>
  <c r="AB6" i="8"/>
  <c r="AQ6" i="8"/>
  <c r="AV6" i="8" s="1"/>
  <c r="AR6" i="8"/>
  <c r="AS6" i="8"/>
  <c r="AX6" i="8"/>
  <c r="AT6" i="8"/>
  <c r="AU6" i="8"/>
  <c r="AZ6" i="8" s="1"/>
  <c r="AW6" i="8"/>
  <c r="AY6" i="8"/>
  <c r="K7" i="8"/>
  <c r="L7" i="8"/>
  <c r="N7" i="8"/>
  <c r="O7" i="8"/>
  <c r="R7" i="8"/>
  <c r="S7" i="8"/>
  <c r="T7" i="8"/>
  <c r="U7" i="8"/>
  <c r="V7" i="8"/>
  <c r="X7" i="8"/>
  <c r="Y7" i="8"/>
  <c r="Z7" i="8"/>
  <c r="AA7" i="8"/>
  <c r="AB7" i="8"/>
  <c r="AQ7" i="8"/>
  <c r="AV7" i="8" s="1"/>
  <c r="AR7" i="8"/>
  <c r="AS7" i="8"/>
  <c r="AX7" i="8"/>
  <c r="AT7" i="8"/>
  <c r="AU7" i="8"/>
  <c r="AZ7" i="8" s="1"/>
  <c r="AW7" i="8"/>
  <c r="AY7" i="8"/>
  <c r="K8" i="8"/>
  <c r="L8" i="8"/>
  <c r="N8" i="8"/>
  <c r="O8" i="8"/>
  <c r="R8" i="8"/>
  <c r="S8" i="8"/>
  <c r="T8" i="8"/>
  <c r="U8" i="8"/>
  <c r="V8" i="8"/>
  <c r="X8" i="8"/>
  <c r="Y8" i="8"/>
  <c r="Z8" i="8"/>
  <c r="AA8" i="8"/>
  <c r="AB8" i="8"/>
  <c r="AQ8" i="8"/>
  <c r="AV8" i="8" s="1"/>
  <c r="AR8" i="8"/>
  <c r="AS8" i="8"/>
  <c r="AX8" i="8"/>
  <c r="AT8" i="8"/>
  <c r="AU8" i="8"/>
  <c r="AZ8" i="8" s="1"/>
  <c r="AW8" i="8"/>
  <c r="AY8" i="8"/>
  <c r="K9" i="8"/>
  <c r="L9" i="8"/>
  <c r="N9" i="8"/>
  <c r="O9" i="8"/>
  <c r="R9" i="8"/>
  <c r="S9" i="8"/>
  <c r="T9" i="8"/>
  <c r="U9" i="8"/>
  <c r="V9" i="8"/>
  <c r="X9" i="8"/>
  <c r="Y9" i="8"/>
  <c r="Z9" i="8"/>
  <c r="AA9" i="8"/>
  <c r="AB9" i="8"/>
  <c r="AQ9" i="8"/>
  <c r="AV9" i="8" s="1"/>
  <c r="AR9" i="8"/>
  <c r="AS9" i="8"/>
  <c r="AX9" i="8"/>
  <c r="AT9" i="8"/>
  <c r="AU9" i="8"/>
  <c r="AZ9" i="8" s="1"/>
  <c r="AW9" i="8"/>
  <c r="AY9" i="8"/>
  <c r="K10" i="8"/>
  <c r="L10" i="8"/>
  <c r="N10" i="8"/>
  <c r="O10" i="8"/>
  <c r="R10" i="8"/>
  <c r="S10" i="8"/>
  <c r="T10" i="8"/>
  <c r="U10" i="8"/>
  <c r="V10" i="8"/>
  <c r="X10" i="8"/>
  <c r="Y10" i="8"/>
  <c r="Z10" i="8"/>
  <c r="AA10" i="8"/>
  <c r="AB10" i="8"/>
  <c r="AQ10" i="8"/>
  <c r="AV10" i="8" s="1"/>
  <c r="AR10" i="8"/>
  <c r="AW10" i="8" s="1"/>
  <c r="AS10" i="8"/>
  <c r="AX10" i="8"/>
  <c r="AT10" i="8"/>
  <c r="AU10" i="8"/>
  <c r="AZ10" i="8" s="1"/>
  <c r="AY10" i="8"/>
  <c r="K11" i="8"/>
  <c r="L11" i="8"/>
  <c r="N11" i="8"/>
  <c r="O11" i="8"/>
  <c r="R11" i="8"/>
  <c r="S11" i="8"/>
  <c r="T11" i="8"/>
  <c r="U11" i="8"/>
  <c r="V11" i="8"/>
  <c r="X11" i="8"/>
  <c r="Y11" i="8"/>
  <c r="Z11" i="8"/>
  <c r="AA11" i="8"/>
  <c r="AB11" i="8"/>
  <c r="AQ11" i="8"/>
  <c r="AV11" i="8" s="1"/>
  <c r="AR11" i="8"/>
  <c r="AW11" i="8" s="1"/>
  <c r="AS11" i="8"/>
  <c r="AX11" i="8"/>
  <c r="AT11" i="8"/>
  <c r="AU11" i="8"/>
  <c r="AZ11" i="8" s="1"/>
  <c r="AY11" i="8"/>
  <c r="K12" i="8"/>
  <c r="L12" i="8"/>
  <c r="N12" i="8"/>
  <c r="O12" i="8"/>
  <c r="R12" i="8"/>
  <c r="S12" i="8"/>
  <c r="T12" i="8"/>
  <c r="U12" i="8"/>
  <c r="V12" i="8"/>
  <c r="X12" i="8"/>
  <c r="Y12" i="8"/>
  <c r="Z12" i="8"/>
  <c r="AA12" i="8"/>
  <c r="AB12" i="8"/>
  <c r="AQ12" i="8"/>
  <c r="AV12" i="8" s="1"/>
  <c r="AR12" i="8"/>
  <c r="AW12" i="8" s="1"/>
  <c r="AS12" i="8"/>
  <c r="AX12" i="8"/>
  <c r="AT12" i="8"/>
  <c r="AU12" i="8"/>
  <c r="AZ12" i="8" s="1"/>
  <c r="AY12" i="8"/>
  <c r="K13" i="8"/>
  <c r="L13" i="8"/>
  <c r="N13" i="8"/>
  <c r="O13" i="8"/>
  <c r="R13" i="8"/>
  <c r="S13" i="8"/>
  <c r="T13" i="8"/>
  <c r="U13" i="8"/>
  <c r="V13" i="8"/>
  <c r="X13" i="8"/>
  <c r="Y13" i="8"/>
  <c r="Z13" i="8"/>
  <c r="AA13" i="8"/>
  <c r="AB13" i="8"/>
  <c r="AQ13" i="8"/>
  <c r="AV13" i="8" s="1"/>
  <c r="AR13" i="8"/>
  <c r="AW13" i="8" s="1"/>
  <c r="AS13" i="8"/>
  <c r="AX13" i="8"/>
  <c r="AT13" i="8"/>
  <c r="AU13" i="8"/>
  <c r="AZ13" i="8" s="1"/>
  <c r="AY13" i="8"/>
  <c r="U14" i="8"/>
  <c r="V14" i="8"/>
  <c r="AB14" i="8"/>
  <c r="K15" i="8"/>
  <c r="L15" i="8"/>
  <c r="L31" i="8" s="1"/>
  <c r="N15" i="8"/>
  <c r="O15" i="8"/>
  <c r="O31" i="8"/>
  <c r="U15" i="8"/>
  <c r="V15" i="8"/>
  <c r="AB15" i="8"/>
  <c r="B20" i="8"/>
  <c r="C20" i="8"/>
  <c r="R20" i="8" s="1"/>
  <c r="E20" i="8"/>
  <c r="F20" i="8"/>
  <c r="Y20" i="8" s="1"/>
  <c r="H20" i="8"/>
  <c r="I20" i="8"/>
  <c r="Z20" i="8"/>
  <c r="K20" i="8"/>
  <c r="L20" i="8"/>
  <c r="N20" i="8"/>
  <c r="O20" i="8"/>
  <c r="T20" i="8"/>
  <c r="B21" i="8"/>
  <c r="C21" i="8"/>
  <c r="E21" i="8"/>
  <c r="F21" i="8"/>
  <c r="H21" i="8"/>
  <c r="I21" i="8"/>
  <c r="AA21" i="8" s="1"/>
  <c r="K21" i="8"/>
  <c r="L21" i="8"/>
  <c r="N21" i="8"/>
  <c r="O21" i="8"/>
  <c r="B22" i="8"/>
  <c r="C22" i="8"/>
  <c r="E22" i="8"/>
  <c r="F22" i="8"/>
  <c r="Y22" i="8"/>
  <c r="H22" i="8"/>
  <c r="I22" i="8"/>
  <c r="Z22" i="8" s="1"/>
  <c r="L22" i="8"/>
  <c r="O22" i="8"/>
  <c r="AA22" i="8"/>
  <c r="B23" i="8"/>
  <c r="C23" i="8"/>
  <c r="R23" i="8"/>
  <c r="E23" i="8"/>
  <c r="F23" i="8"/>
  <c r="H23" i="8"/>
  <c r="I23" i="8"/>
  <c r="AA23" i="8" s="1"/>
  <c r="K23" i="8"/>
  <c r="L23" i="8"/>
  <c r="N23" i="8"/>
  <c r="O23" i="8"/>
  <c r="B24" i="8"/>
  <c r="C24" i="8"/>
  <c r="R24" i="8" s="1"/>
  <c r="E24" i="8"/>
  <c r="F24" i="8"/>
  <c r="Y24" i="8" s="1"/>
  <c r="H24" i="8"/>
  <c r="I24" i="8"/>
  <c r="Z24" i="8" s="1"/>
  <c r="L24" i="8"/>
  <c r="O24" i="8"/>
  <c r="T24" i="8"/>
  <c r="B25" i="8"/>
  <c r="C25" i="8"/>
  <c r="E25" i="8"/>
  <c r="F25" i="8"/>
  <c r="H25" i="8"/>
  <c r="I25" i="8"/>
  <c r="AA25" i="8" s="1"/>
  <c r="K25" i="8"/>
  <c r="L25" i="8"/>
  <c r="N25" i="8"/>
  <c r="O25" i="8"/>
  <c r="B26" i="8"/>
  <c r="C26" i="8"/>
  <c r="E26" i="8"/>
  <c r="F26" i="8"/>
  <c r="Y26" i="8"/>
  <c r="H26" i="8"/>
  <c r="I26" i="8"/>
  <c r="Z26" i="8" s="1"/>
  <c r="L26" i="8"/>
  <c r="O26" i="8"/>
  <c r="AA26" i="8"/>
  <c r="B27" i="8"/>
  <c r="C27" i="8"/>
  <c r="R27" i="8"/>
  <c r="E27" i="8"/>
  <c r="F27" i="8"/>
  <c r="H27" i="8"/>
  <c r="I27" i="8"/>
  <c r="AA27" i="8" s="1"/>
  <c r="K27" i="8"/>
  <c r="L27" i="8"/>
  <c r="N27" i="8"/>
  <c r="O27" i="8"/>
  <c r="B28" i="8"/>
  <c r="C28" i="8"/>
  <c r="R28" i="8" s="1"/>
  <c r="E28" i="8"/>
  <c r="F28" i="8"/>
  <c r="Y28" i="8" s="1"/>
  <c r="H28" i="8"/>
  <c r="I28" i="8"/>
  <c r="Z28" i="8" s="1"/>
  <c r="L28" i="8"/>
  <c r="O28" i="8"/>
  <c r="T28" i="8"/>
  <c r="B29" i="8"/>
  <c r="C29" i="8"/>
  <c r="E29" i="8"/>
  <c r="F29" i="8"/>
  <c r="H29" i="8"/>
  <c r="I29" i="8"/>
  <c r="AA29" i="8" s="1"/>
  <c r="L29" i="8"/>
  <c r="N29" i="8"/>
  <c r="O29" i="8"/>
  <c r="R30" i="8"/>
  <c r="S30" i="8"/>
  <c r="T30" i="8"/>
  <c r="U30" i="8"/>
  <c r="V30" i="8"/>
  <c r="X30" i="8"/>
  <c r="Y30" i="8"/>
  <c r="Z30" i="8"/>
  <c r="AA30" i="8"/>
  <c r="AB30" i="8"/>
  <c r="B31" i="8"/>
  <c r="C31" i="8"/>
  <c r="R31" i="8"/>
  <c r="E31" i="8"/>
  <c r="F31" i="8"/>
  <c r="H31" i="8"/>
  <c r="I31" i="8"/>
  <c r="Z31" i="8" s="1"/>
  <c r="N31" i="8"/>
  <c r="T31" i="8"/>
  <c r="Y31" i="8"/>
  <c r="R38" i="8"/>
  <c r="S38" i="8"/>
  <c r="T38" i="8"/>
  <c r="U38" i="8"/>
  <c r="V38" i="8"/>
  <c r="X38" i="8"/>
  <c r="Y38" i="8"/>
  <c r="Z38" i="8"/>
  <c r="AA38" i="8"/>
  <c r="AB38" i="8"/>
  <c r="R41" i="8"/>
  <c r="S41" i="8"/>
  <c r="T41" i="8"/>
  <c r="U41" i="8"/>
  <c r="V41" i="8"/>
  <c r="X41" i="8"/>
  <c r="Y41" i="8"/>
  <c r="Z41" i="8"/>
  <c r="AA41" i="8"/>
  <c r="AB41" i="8"/>
  <c r="R44" i="8"/>
  <c r="S44" i="8"/>
  <c r="T44" i="8"/>
  <c r="U44" i="8"/>
  <c r="V44" i="8"/>
  <c r="X44" i="8"/>
  <c r="Y44" i="8"/>
  <c r="Z44" i="8"/>
  <c r="AA44" i="8"/>
  <c r="AB44" i="8"/>
  <c r="R47" i="8"/>
  <c r="S47" i="8"/>
  <c r="T47" i="8"/>
  <c r="U47" i="8"/>
  <c r="V47" i="8"/>
  <c r="X47" i="8"/>
  <c r="Y47" i="8"/>
  <c r="Z47" i="8"/>
  <c r="AA47" i="8"/>
  <c r="AB47" i="8"/>
  <c r="K6" i="3"/>
  <c r="X6" i="3"/>
  <c r="AK6" i="3"/>
  <c r="AX6" i="3"/>
  <c r="BK6" i="3"/>
  <c r="BX6" i="3"/>
  <c r="CK6" i="3"/>
  <c r="CX6" i="3"/>
  <c r="DK6" i="3"/>
  <c r="DX6" i="3"/>
  <c r="EK6" i="3"/>
  <c r="EX6" i="3"/>
  <c r="G28" i="3"/>
  <c r="Q28" i="3"/>
  <c r="R28" i="3"/>
  <c r="T28" i="3"/>
  <c r="AD28" i="3"/>
  <c r="AG28" i="3"/>
  <c r="AQ28" i="3"/>
  <c r="AR28" i="3"/>
  <c r="AT28" i="3"/>
  <c r="BD28" i="3"/>
  <c r="BE28" i="3"/>
  <c r="BG28" i="3"/>
  <c r="BQ28" i="3"/>
  <c r="BR28" i="3"/>
  <c r="BT28" i="3"/>
  <c r="CD28" i="3"/>
  <c r="CE28" i="3"/>
  <c r="CG28" i="3"/>
  <c r="CQ28" i="3"/>
  <c r="CR28" i="3"/>
  <c r="CT28" i="3"/>
  <c r="DD28" i="3"/>
  <c r="DE28" i="3"/>
  <c r="DG28" i="3"/>
  <c r="DQ28" i="3"/>
  <c r="DR28" i="3"/>
  <c r="DT28" i="3"/>
  <c r="ED28" i="3"/>
  <c r="EE28" i="3"/>
  <c r="EG28" i="3"/>
  <c r="EQ28" i="3"/>
  <c r="ER28" i="3"/>
  <c r="ET28" i="3"/>
  <c r="K89" i="3"/>
  <c r="K42" i="3"/>
  <c r="K94" i="3" s="1"/>
  <c r="DX42" i="3"/>
  <c r="K44" i="3"/>
  <c r="K96" i="3" s="1"/>
  <c r="X44" i="3"/>
  <c r="AK44" i="3"/>
  <c r="AX44" i="3"/>
  <c r="BK44" i="3"/>
  <c r="BX44" i="3"/>
  <c r="CK44" i="3"/>
  <c r="DK44" i="3"/>
  <c r="DX44" i="3"/>
  <c r="EK44" i="3"/>
  <c r="EX44" i="3"/>
  <c r="K46" i="3"/>
  <c r="K98" i="3" s="1"/>
  <c r="DX46" i="3"/>
  <c r="K47" i="3"/>
  <c r="K99" i="3" s="1"/>
  <c r="DX47" i="3"/>
  <c r="D51" i="3"/>
  <c r="G51" i="3"/>
  <c r="Q51" i="3"/>
  <c r="R51" i="3"/>
  <c r="T51" i="3"/>
  <c r="AD51" i="3"/>
  <c r="AQ51" i="3"/>
  <c r="BD51" i="3"/>
  <c r="BJ51" i="3"/>
  <c r="BQ51" i="3"/>
  <c r="CD51" i="3"/>
  <c r="CJ51" i="3"/>
  <c r="CQ51" i="3"/>
  <c r="DD51" i="3"/>
  <c r="DQ51" i="3"/>
  <c r="ED51" i="3"/>
  <c r="EQ51" i="3"/>
  <c r="D60" i="3"/>
  <c r="Q60" i="3" s="1"/>
  <c r="G60" i="3"/>
  <c r="D62" i="3"/>
  <c r="Q62" i="3" s="1"/>
  <c r="G62" i="3"/>
  <c r="T62" i="3" s="1"/>
  <c r="D64" i="3"/>
  <c r="Q64" i="3" s="1"/>
  <c r="G64" i="3"/>
  <c r="D66" i="3"/>
  <c r="Q66" i="3" s="1"/>
  <c r="G66" i="3"/>
  <c r="T66" i="3" s="1"/>
  <c r="D68" i="3"/>
  <c r="Q68" i="3" s="1"/>
  <c r="G68" i="3"/>
  <c r="T68" i="3" s="1"/>
  <c r="D70" i="3"/>
  <c r="Q70" i="3" s="1"/>
  <c r="G70" i="3"/>
  <c r="D72" i="3"/>
  <c r="Q72" i="3" s="1"/>
  <c r="G72" i="3"/>
  <c r="T72" i="3" s="1"/>
  <c r="D74" i="3"/>
  <c r="Q74" i="3" s="1"/>
  <c r="G74" i="3"/>
  <c r="D78" i="3"/>
  <c r="Q78" i="3" s="1"/>
  <c r="G78" i="3"/>
  <c r="T78" i="3" s="1"/>
  <c r="D80" i="3"/>
  <c r="Q80" i="3" s="1"/>
  <c r="G80" i="3"/>
  <c r="T80" i="3" s="1"/>
  <c r="D88" i="3"/>
  <c r="D89" i="3"/>
  <c r="Q89" i="3" s="1"/>
  <c r="AD89" i="3" s="1"/>
  <c r="AQ89" i="3" s="1"/>
  <c r="BD89" i="3" s="1"/>
  <c r="BQ89" i="3" s="1"/>
  <c r="CD89" i="3" s="1"/>
  <c r="CQ89" i="3" s="1"/>
  <c r="DD89" i="3" s="1"/>
  <c r="DQ89" i="3" s="1"/>
  <c r="ED89" i="3" s="1"/>
  <c r="EQ89" i="3" s="1"/>
  <c r="D94" i="3"/>
  <c r="Q94" i="3" s="1"/>
  <c r="AD94" i="3" s="1"/>
  <c r="AQ94" i="3" s="1"/>
  <c r="BD94" i="3" s="1"/>
  <c r="D96" i="3"/>
  <c r="D98" i="3"/>
  <c r="Q98" i="3" s="1"/>
  <c r="AD98" i="3" s="1"/>
  <c r="AQ98" i="3" s="1"/>
  <c r="BD98" i="3" s="1"/>
  <c r="BQ98" i="3" s="1"/>
  <c r="CD98" i="3" s="1"/>
  <c r="D99" i="3"/>
  <c r="Q99" i="3" s="1"/>
  <c r="AD99" i="3" s="1"/>
  <c r="CJ112" i="2"/>
  <c r="CK112" i="2"/>
  <c r="EC102" i="2"/>
  <c r="DZ117" i="2"/>
  <c r="ED102" i="2"/>
  <c r="CJ101" i="2"/>
  <c r="CK101" i="2"/>
  <c r="ER64" i="2"/>
  <c r="ES64" i="2"/>
  <c r="CJ64" i="2"/>
  <c r="CK64" i="2"/>
  <c r="AQ64" i="2"/>
  <c r="AR64" i="2"/>
  <c r="AN75" i="2"/>
  <c r="ER63" i="2"/>
  <c r="ES63" i="2"/>
  <c r="EO75" i="2"/>
  <c r="CJ63" i="2"/>
  <c r="CK63" i="2"/>
  <c r="CG75" i="2"/>
  <c r="AD75" i="2"/>
  <c r="AT107" i="2"/>
  <c r="EC60" i="2"/>
  <c r="ED60" i="2"/>
  <c r="DZ75" i="2"/>
  <c r="BU60" i="2"/>
  <c r="BV60" i="2"/>
  <c r="BR75" i="2"/>
  <c r="AA60" i="2"/>
  <c r="AB60" i="2"/>
  <c r="X75" i="2"/>
  <c r="ES59" i="2"/>
  <c r="ER59" i="2"/>
  <c r="EP75" i="2"/>
  <c r="CK59" i="2"/>
  <c r="CJ59" i="2"/>
  <c r="CH75" i="2"/>
  <c r="AR59" i="2"/>
  <c r="AM75" i="2"/>
  <c r="L59" i="2"/>
  <c r="G75" i="2"/>
  <c r="FV56" i="2"/>
  <c r="FW56" i="2"/>
  <c r="FS75" i="2"/>
  <c r="DN56" i="2"/>
  <c r="DO56" i="2"/>
  <c r="DK75" i="2"/>
  <c r="BF56" i="2"/>
  <c r="BG56" i="2"/>
  <c r="BC75" i="2"/>
  <c r="AB56" i="2"/>
  <c r="W75" i="2"/>
  <c r="FH55" i="2"/>
  <c r="FG55" i="2"/>
  <c r="FE75" i="2"/>
  <c r="CZ55" i="2"/>
  <c r="CY55" i="2"/>
  <c r="CW75" i="2"/>
  <c r="K55" i="2"/>
  <c r="L55" i="2"/>
  <c r="H75" i="2"/>
  <c r="FZ26" i="2"/>
  <c r="GA26" i="2"/>
  <c r="CN26" i="2"/>
  <c r="CO26" i="2"/>
  <c r="BJ73" i="2"/>
  <c r="CN73" i="2"/>
  <c r="DR73" i="2"/>
  <c r="EV73" i="2"/>
  <c r="FZ73" i="2"/>
  <c r="AU73" i="2"/>
  <c r="BY73" i="2"/>
  <c r="EG73" i="2"/>
  <c r="AE73" i="2"/>
  <c r="DC73" i="2"/>
  <c r="CN115" i="2"/>
  <c r="CN72" i="2"/>
  <c r="EE113" i="2"/>
  <c r="FI70" i="2"/>
  <c r="EE70" i="2"/>
  <c r="EV9" i="2"/>
  <c r="EW9" i="2"/>
  <c r="CL101" i="2"/>
  <c r="CL54" i="2"/>
  <c r="DA54" i="2"/>
  <c r="DP54" i="2"/>
  <c r="EE54" i="2"/>
  <c r="ET54" i="2"/>
  <c r="FI54" i="2"/>
  <c r="FX54" i="2"/>
  <c r="EE75" i="2"/>
  <c r="CE75" i="2"/>
  <c r="BW75" i="2"/>
  <c r="BA75" i="2"/>
  <c r="U75" i="2"/>
  <c r="EC116" i="2"/>
  <c r="ED116" i="2"/>
  <c r="FV107" i="2"/>
  <c r="FW107" i="2"/>
  <c r="EC107" i="2"/>
  <c r="ED107" i="2"/>
  <c r="CJ106" i="2"/>
  <c r="CK106" i="2"/>
  <c r="FV101" i="2"/>
  <c r="FW101" i="2"/>
  <c r="ED73" i="2"/>
  <c r="EC73" i="2"/>
  <c r="BV73" i="2"/>
  <c r="BU73" i="2"/>
  <c r="ER72" i="2"/>
  <c r="ES72" i="2"/>
  <c r="CJ72" i="2"/>
  <c r="CK72" i="2"/>
  <c r="FV71" i="2"/>
  <c r="FW71" i="2"/>
  <c r="DN71" i="2"/>
  <c r="DO71" i="2"/>
  <c r="BF71" i="2"/>
  <c r="BG71" i="2"/>
  <c r="ED70" i="2"/>
  <c r="EC70" i="2"/>
  <c r="FG68" i="2"/>
  <c r="FH68" i="2"/>
  <c r="FD75" i="2"/>
  <c r="CK68" i="2"/>
  <c r="CJ68" i="2"/>
  <c r="FW67" i="2"/>
  <c r="FV67" i="2"/>
  <c r="EC67" i="2"/>
  <c r="ED67" i="2"/>
  <c r="BG67" i="2"/>
  <c r="BF67" i="2"/>
  <c r="FR117" i="2"/>
  <c r="CF117" i="2"/>
  <c r="Z29" i="8"/>
  <c r="T29" i="8"/>
  <c r="S29" i="8"/>
  <c r="U29" i="8"/>
  <c r="Y29" i="8"/>
  <c r="X29" i="8"/>
  <c r="AB29" i="8"/>
  <c r="Z27" i="8"/>
  <c r="T27" i="8"/>
  <c r="S27" i="8"/>
  <c r="U27" i="8"/>
  <c r="Y27" i="8"/>
  <c r="X27" i="8"/>
  <c r="AB27" i="8"/>
  <c r="Z25" i="8"/>
  <c r="T25" i="8"/>
  <c r="S25" i="8"/>
  <c r="U25" i="8"/>
  <c r="Y25" i="8"/>
  <c r="X25" i="8"/>
  <c r="AB25" i="8"/>
  <c r="Z23" i="8"/>
  <c r="T23" i="8"/>
  <c r="S23" i="8"/>
  <c r="U23" i="8"/>
  <c r="Y23" i="8"/>
  <c r="X23" i="8"/>
  <c r="AB23" i="8"/>
  <c r="Z21" i="8"/>
  <c r="T21" i="8"/>
  <c r="S21" i="8"/>
  <c r="U21" i="8"/>
  <c r="Y21" i="8"/>
  <c r="X21" i="8"/>
  <c r="AB21" i="8"/>
  <c r="N22" i="8"/>
  <c r="N24" i="8"/>
  <c r="N26" i="8"/>
  <c r="N28" i="8"/>
  <c r="K22" i="8"/>
  <c r="K24" i="8"/>
  <c r="K26" i="8"/>
  <c r="K28" i="8"/>
  <c r="K31" i="8"/>
  <c r="EC114" i="2"/>
  <c r="ED114" i="2"/>
  <c r="FV112" i="2"/>
  <c r="FW112" i="2"/>
  <c r="FV106" i="2"/>
  <c r="FW106" i="2"/>
  <c r="AQ106" i="2"/>
  <c r="AR106" i="2"/>
  <c r="ED105" i="2"/>
  <c r="EA117" i="2"/>
  <c r="AQ105" i="2"/>
  <c r="AN117" i="2"/>
  <c r="AR105" i="2"/>
  <c r="FW104" i="2"/>
  <c r="FV104" i="2"/>
  <c r="ED104" i="2"/>
  <c r="EC104" i="2"/>
  <c r="CK104" i="2"/>
  <c r="CJ104" i="2"/>
  <c r="FW103" i="2"/>
  <c r="FT117" i="2"/>
  <c r="CK103" i="2"/>
  <c r="CH117" i="2"/>
  <c r="AQ101" i="2"/>
  <c r="AR101" i="2"/>
  <c r="FZ78" i="2"/>
  <c r="FU87" i="2"/>
  <c r="FZ87" i="2" s="1"/>
  <c r="ER73" i="2"/>
  <c r="ES73" i="2"/>
  <c r="CJ73" i="2"/>
  <c r="CK73" i="2"/>
  <c r="FV72" i="2"/>
  <c r="FW72" i="2"/>
  <c r="DN72" i="2"/>
  <c r="DO72" i="2"/>
  <c r="BF72" i="2"/>
  <c r="BG72" i="2"/>
  <c r="FH71" i="2"/>
  <c r="FG71" i="2"/>
  <c r="CZ71" i="2"/>
  <c r="CY71" i="2"/>
  <c r="K71" i="2"/>
  <c r="L71" i="2"/>
  <c r="EE117" i="2"/>
  <c r="DW117" i="2"/>
  <c r="AP117" i="2"/>
  <c r="AL117" i="2"/>
  <c r="AJ117" i="2"/>
  <c r="FP117" i="2"/>
  <c r="CD117" i="2"/>
  <c r="AK117" i="2"/>
  <c r="FX117" i="2"/>
  <c r="S31" i="8"/>
  <c r="U31" i="8"/>
  <c r="X31" i="8"/>
  <c r="AB31" i="8"/>
  <c r="S28" i="8"/>
  <c r="U28" i="8"/>
  <c r="X28" i="8"/>
  <c r="AB28" i="8"/>
  <c r="S26" i="8"/>
  <c r="U26" i="8"/>
  <c r="X26" i="8"/>
  <c r="AB26" i="8"/>
  <c r="S24" i="8"/>
  <c r="U24" i="8"/>
  <c r="X24" i="8"/>
  <c r="AB24" i="8"/>
  <c r="S22" i="8"/>
  <c r="U22" i="8"/>
  <c r="X22" i="8"/>
  <c r="AB22" i="8"/>
  <c r="S20" i="8"/>
  <c r="U20" i="8"/>
  <c r="X20" i="8"/>
  <c r="AB20" i="8"/>
  <c r="FV105" i="2"/>
  <c r="FS117" i="2"/>
  <c r="CJ105" i="2"/>
  <c r="CG117" i="2"/>
  <c r="AS113" i="2"/>
  <c r="ES68" i="2"/>
  <c r="ER68" i="2"/>
  <c r="CY68" i="2"/>
  <c r="CZ68" i="2"/>
  <c r="DO67" i="2"/>
  <c r="DN67" i="2"/>
  <c r="BU67" i="2"/>
  <c r="BV67" i="2"/>
  <c r="K66" i="2"/>
  <c r="L66" i="2"/>
  <c r="ED64" i="2"/>
  <c r="EC64" i="2"/>
  <c r="BV64" i="2"/>
  <c r="BU64" i="2"/>
  <c r="K64" i="2"/>
  <c r="L64" i="2"/>
  <c r="ED63" i="2"/>
  <c r="EC63" i="2"/>
  <c r="EA75" i="2"/>
  <c r="BV63" i="2"/>
  <c r="BU63" i="2"/>
  <c r="BS75" i="2"/>
  <c r="AA62" i="2"/>
  <c r="AB62" i="2"/>
  <c r="FW60" i="2"/>
  <c r="FV60" i="2"/>
  <c r="FT75" i="2"/>
  <c r="DO60" i="2"/>
  <c r="DN60" i="2"/>
  <c r="DL75" i="2"/>
  <c r="BG60" i="2"/>
  <c r="BF60" i="2"/>
  <c r="BD75" i="2"/>
  <c r="AS75" i="2"/>
  <c r="AS106" i="2"/>
  <c r="FG59" i="2"/>
  <c r="FH59" i="2"/>
  <c r="CY59" i="2"/>
  <c r="CZ59" i="2"/>
  <c r="AB58" i="2"/>
  <c r="AA58" i="2"/>
  <c r="FH56" i="2"/>
  <c r="FG56" i="2"/>
  <c r="CZ56" i="2"/>
  <c r="CY56" i="2"/>
  <c r="FV55" i="2"/>
  <c r="FW55" i="2"/>
  <c r="DN55" i="2"/>
  <c r="DO55" i="2"/>
  <c r="BF55" i="2"/>
  <c r="BG55" i="2"/>
  <c r="EH26" i="2"/>
  <c r="BH70" i="2"/>
  <c r="CL70" i="2"/>
  <c r="DP70" i="2"/>
  <c r="ET70" i="2"/>
  <c r="FX70" i="2"/>
  <c r="AO73" i="2"/>
  <c r="BT73" i="2"/>
  <c r="CX73" i="2"/>
  <c r="EB73" i="2"/>
  <c r="FF73" i="2"/>
  <c r="Y21" i="2"/>
  <c r="AE22" i="2"/>
  <c r="Y26" i="2"/>
  <c r="AO71" i="2"/>
  <c r="BT71" i="2"/>
  <c r="CX71" i="2"/>
  <c r="EB71" i="2"/>
  <c r="FF71" i="2"/>
  <c r="V70" i="2"/>
  <c r="AL70" i="2"/>
  <c r="BB70" i="2"/>
  <c r="CF70" i="2"/>
  <c r="DJ70" i="2"/>
  <c r="EN70" i="2"/>
  <c r="FR70" i="2"/>
  <c r="AA21" i="2"/>
  <c r="T70" i="2"/>
  <c r="AA70" i="2"/>
  <c r="AJ70" i="2"/>
  <c r="AZ70" i="2"/>
  <c r="BF70" i="2"/>
  <c r="CD70" i="2"/>
  <c r="CK70" i="2"/>
  <c r="DH70" i="2"/>
  <c r="DO70" i="2"/>
  <c r="EL70" i="2"/>
  <c r="FP70" i="2"/>
  <c r="FW70" i="2"/>
  <c r="AO17" i="2"/>
  <c r="AU19" i="2"/>
  <c r="BE68" i="2"/>
  <c r="CI68" i="2"/>
  <c r="DM68" i="2"/>
  <c r="EQ68" i="2"/>
  <c r="FU68" i="2"/>
  <c r="BT68" i="2"/>
  <c r="EB68" i="2"/>
  <c r="AO112" i="2"/>
  <c r="AQ17" i="2"/>
  <c r="AM66" i="2"/>
  <c r="BC66" i="2"/>
  <c r="CG66" i="2"/>
  <c r="DK66" i="2"/>
  <c r="EO66" i="2"/>
  <c r="FS66" i="2"/>
  <c r="AK66" i="2"/>
  <c r="BP66" i="2"/>
  <c r="CT66" i="2"/>
  <c r="DX66" i="2"/>
  <c r="FB66" i="2"/>
  <c r="AE18" i="2"/>
  <c r="Y67" i="2"/>
  <c r="Y75" i="2" s="1"/>
  <c r="BE67" i="2"/>
  <c r="CI67" i="2"/>
  <c r="DM67" i="2"/>
  <c r="EQ67" i="2"/>
  <c r="FU67" i="2"/>
  <c r="AO67" i="2"/>
  <c r="CX67" i="2"/>
  <c r="FF67" i="2"/>
  <c r="AO111" i="2"/>
  <c r="AO117" i="2" s="1"/>
  <c r="V66" i="2"/>
  <c r="BB66" i="2"/>
  <c r="BQ66" i="2"/>
  <c r="CF66" i="2"/>
  <c r="CU66" i="2"/>
  <c r="DJ66" i="2"/>
  <c r="DY66" i="2"/>
  <c r="EN66" i="2"/>
  <c r="FC66" i="2"/>
  <c r="FR66" i="2"/>
  <c r="AL110" i="2"/>
  <c r="AB17" i="2"/>
  <c r="T66" i="2"/>
  <c r="AA66" i="2" s="1"/>
  <c r="AZ66" i="2"/>
  <c r="BO66" i="2"/>
  <c r="CD66" i="2"/>
  <c r="CS66" i="2"/>
  <c r="CZ66" i="2" s="1"/>
  <c r="DH66" i="2"/>
  <c r="DW66" i="2"/>
  <c r="ED66" i="2"/>
  <c r="EL66" i="2"/>
  <c r="FA66" i="2"/>
  <c r="FH66" i="2" s="1"/>
  <c r="FP66" i="2"/>
  <c r="AJ66" i="2"/>
  <c r="AJ110" i="2"/>
  <c r="AQ110" i="2" s="1"/>
  <c r="Z66" i="2"/>
  <c r="J38" i="2"/>
  <c r="J48" i="2"/>
  <c r="AP110" i="2"/>
  <c r="BH62" i="2"/>
  <c r="BW62" i="2"/>
  <c r="CL62" i="2"/>
  <c r="DA62" i="2"/>
  <c r="DP62" i="2"/>
  <c r="EE62" i="2"/>
  <c r="ET62" i="2"/>
  <c r="FI62" i="2"/>
  <c r="FX62" i="2"/>
  <c r="CL107" i="2"/>
  <c r="AC62" i="2"/>
  <c r="M62" i="2"/>
  <c r="BH58" i="2"/>
  <c r="BW58" i="2"/>
  <c r="CL58" i="2"/>
  <c r="DA58" i="2"/>
  <c r="DP58" i="2"/>
  <c r="EE58" i="2"/>
  <c r="ET58" i="2"/>
  <c r="FI58" i="2"/>
  <c r="FX58" i="2"/>
  <c r="M58" i="2"/>
  <c r="AS58" i="2"/>
  <c r="FX101" i="2"/>
  <c r="EE101" i="2"/>
  <c r="M54" i="2"/>
  <c r="AC54" i="2"/>
  <c r="AS54" i="2"/>
  <c r="FU117" i="2"/>
  <c r="FQ117" i="2"/>
  <c r="CI117" i="2"/>
  <c r="CE117" i="2"/>
  <c r="EF117" i="2"/>
  <c r="FV87" i="2"/>
  <c r="AT116" i="2"/>
  <c r="FV70" i="2"/>
  <c r="DN70" i="2"/>
  <c r="AR70" i="2"/>
  <c r="AB70" i="2"/>
  <c r="DY75" i="2"/>
  <c r="DW75" i="2"/>
  <c r="BQ75" i="2"/>
  <c r="BO75" i="2"/>
  <c r="AS107" i="2"/>
  <c r="FR75" i="2"/>
  <c r="FP75" i="2"/>
  <c r="DJ75" i="2"/>
  <c r="DH75" i="2"/>
  <c r="BB75" i="2"/>
  <c r="AZ75" i="2"/>
  <c r="ET75" i="2"/>
  <c r="CL75" i="2"/>
  <c r="FI75" i="2"/>
  <c r="DA75" i="2"/>
  <c r="I46" i="2"/>
  <c r="P46" i="2"/>
  <c r="L46" i="2"/>
  <c r="K46" i="2"/>
  <c r="O29" i="2"/>
  <c r="I38" i="2"/>
  <c r="FU21" i="2"/>
  <c r="FZ22" i="2"/>
  <c r="FZ114" i="2" s="1"/>
  <c r="FW21" i="2"/>
  <c r="FV21" i="2"/>
  <c r="FL21" i="2"/>
  <c r="FK21" i="2"/>
  <c r="FK23" i="2"/>
  <c r="FZ115" i="2" s="1"/>
  <c r="FF26" i="2"/>
  <c r="FK26" i="2" s="1"/>
  <c r="FG21" i="2"/>
  <c r="FH21" i="2"/>
  <c r="DM21" i="2"/>
  <c r="DR22" i="2"/>
  <c r="EG114" i="2"/>
  <c r="DO21" i="2"/>
  <c r="DN21" i="2"/>
  <c r="DC23" i="2"/>
  <c r="CX26" i="2"/>
  <c r="DC26" i="2" s="1"/>
  <c r="CY21" i="2"/>
  <c r="CZ21" i="2"/>
  <c r="BE21" i="2"/>
  <c r="BJ22" i="2"/>
  <c r="BE26" i="2"/>
  <c r="BJ26" i="2" s="1"/>
  <c r="BG21" i="2"/>
  <c r="BF21" i="2"/>
  <c r="FV13" i="2"/>
  <c r="FW13" i="2"/>
  <c r="ER13" i="2"/>
  <c r="ES13" i="2"/>
  <c r="DN13" i="2"/>
  <c r="DO13" i="2"/>
  <c r="CJ13" i="2"/>
  <c r="CK13" i="2"/>
  <c r="BE13" i="2"/>
  <c r="BJ15" i="2"/>
  <c r="BJ64" i="2"/>
  <c r="BT64" i="2"/>
  <c r="CX64" i="2"/>
  <c r="EB64" i="2"/>
  <c r="FF64" i="2"/>
  <c r="BG13" i="2"/>
  <c r="BF13" i="2"/>
  <c r="BC62" i="2"/>
  <c r="BR62" i="2"/>
  <c r="CG62" i="2"/>
  <c r="CV62" i="2"/>
  <c r="DK62" i="2"/>
  <c r="DZ62" i="2"/>
  <c r="EO62" i="2"/>
  <c r="FD62" i="2"/>
  <c r="FS62" i="2"/>
  <c r="BA62" i="2"/>
  <c r="BP62" i="2"/>
  <c r="CE62" i="2"/>
  <c r="CT62" i="2"/>
  <c r="DI62" i="2"/>
  <c r="DX62" i="2"/>
  <c r="EM62" i="2"/>
  <c r="FB62" i="2"/>
  <c r="FQ62" i="2"/>
  <c r="AU14" i="2"/>
  <c r="AO63" i="2"/>
  <c r="BT63" i="2"/>
  <c r="CX63" i="2"/>
  <c r="EB63" i="2"/>
  <c r="FF63" i="2"/>
  <c r="AR13" i="2"/>
  <c r="AJ62" i="2"/>
  <c r="FU9" i="2"/>
  <c r="FZ9" i="2" s="1"/>
  <c r="FZ11" i="2"/>
  <c r="FW9" i="2"/>
  <c r="FT26" i="2"/>
  <c r="FW26" i="2" s="1"/>
  <c r="FV9" i="2"/>
  <c r="ES9" i="2"/>
  <c r="EP26" i="2"/>
  <c r="ES26" i="2" s="1"/>
  <c r="ER9" i="2"/>
  <c r="DM9" i="2"/>
  <c r="DR9" i="2"/>
  <c r="DR11" i="2"/>
  <c r="DO9" i="2"/>
  <c r="DL26" i="2"/>
  <c r="DO26" i="2"/>
  <c r="DN9" i="2"/>
  <c r="CK9" i="2"/>
  <c r="CH26" i="2"/>
  <c r="CK26" i="2"/>
  <c r="CJ9" i="2"/>
  <c r="BE9" i="2"/>
  <c r="BK9" i="2" s="1"/>
  <c r="BJ11" i="2"/>
  <c r="BJ60" i="2" s="1"/>
  <c r="BE60" i="2"/>
  <c r="CI60" i="2"/>
  <c r="DM60" i="2"/>
  <c r="EQ60" i="2"/>
  <c r="FU60" i="2"/>
  <c r="BG9" i="2"/>
  <c r="BF9" i="2"/>
  <c r="AU10" i="2"/>
  <c r="BE59" i="2"/>
  <c r="BE75" i="2" s="1"/>
  <c r="CI59" i="2"/>
  <c r="CI75" i="2" s="1"/>
  <c r="DM59" i="2"/>
  <c r="DM75" i="2" s="1"/>
  <c r="EQ59" i="2"/>
  <c r="EQ75" i="2" s="1"/>
  <c r="FU59" i="2"/>
  <c r="FU75" i="2" s="1"/>
  <c r="BB58" i="2"/>
  <c r="BQ58" i="2"/>
  <c r="CF58" i="2"/>
  <c r="CU58" i="2"/>
  <c r="DJ58" i="2"/>
  <c r="DY58" i="2"/>
  <c r="EN58" i="2"/>
  <c r="FC58" i="2"/>
  <c r="FR58" i="2"/>
  <c r="AR9" i="2"/>
  <c r="AZ58" i="2"/>
  <c r="BG58" i="2" s="1"/>
  <c r="BO58" i="2"/>
  <c r="BV58" i="2" s="1"/>
  <c r="CD58" i="2"/>
  <c r="CK58" i="2" s="1"/>
  <c r="CS58" i="2"/>
  <c r="CZ58" i="2" s="1"/>
  <c r="DH58" i="2"/>
  <c r="DO58" i="2" s="1"/>
  <c r="DW58" i="2"/>
  <c r="ED58" i="2" s="1"/>
  <c r="EL58" i="2"/>
  <c r="ES58" i="2" s="1"/>
  <c r="FA58" i="2"/>
  <c r="FH58" i="2" s="1"/>
  <c r="FP58" i="2"/>
  <c r="FW58" i="2" s="1"/>
  <c r="FU5" i="2"/>
  <c r="GA5" i="2" s="1"/>
  <c r="FZ7" i="2"/>
  <c r="FW5" i="2"/>
  <c r="FV5" i="2"/>
  <c r="ES5" i="2"/>
  <c r="ER5" i="2"/>
  <c r="DM5" i="2"/>
  <c r="DS5" i="2"/>
  <c r="DR7" i="2"/>
  <c r="DO5" i="2"/>
  <c r="DN5" i="2"/>
  <c r="CK5" i="2"/>
  <c r="CJ5" i="2"/>
  <c r="BE5" i="2"/>
  <c r="BJ7" i="2"/>
  <c r="BJ56" i="2" s="1"/>
  <c r="BT56" i="2"/>
  <c r="CX56" i="2"/>
  <c r="EB56" i="2"/>
  <c r="FF56" i="2"/>
  <c r="BG5" i="2"/>
  <c r="BF5" i="2"/>
  <c r="BC54" i="2"/>
  <c r="BR54" i="2"/>
  <c r="CG54" i="2"/>
  <c r="CV54" i="2"/>
  <c r="DK54" i="2"/>
  <c r="DZ54" i="2"/>
  <c r="EO54" i="2"/>
  <c r="FD54" i="2"/>
  <c r="FS54" i="2"/>
  <c r="BA54" i="2"/>
  <c r="BP54" i="2"/>
  <c r="CE54" i="2"/>
  <c r="CT54" i="2"/>
  <c r="DI54" i="2"/>
  <c r="DX54" i="2"/>
  <c r="EM54" i="2"/>
  <c r="FB54" i="2"/>
  <c r="FQ54" i="2"/>
  <c r="AU6" i="2"/>
  <c r="AO55" i="2"/>
  <c r="AO75" i="2"/>
  <c r="BT55" i="2"/>
  <c r="BT75" i="2"/>
  <c r="CX55" i="2"/>
  <c r="CX75" i="2"/>
  <c r="EB55" i="2"/>
  <c r="EB75" i="2"/>
  <c r="FF55" i="2"/>
  <c r="FF75" i="2"/>
  <c r="AR5" i="2"/>
  <c r="AJ54" i="2"/>
  <c r="FL26" i="2"/>
  <c r="AO21" i="2"/>
  <c r="AU22" i="2"/>
  <c r="AO26" i="2"/>
  <c r="AU26" i="2"/>
  <c r="I21" i="2"/>
  <c r="O22" i="2"/>
  <c r="O71" i="2" s="1"/>
  <c r="O70" i="2"/>
  <c r="FF13" i="2"/>
  <c r="FK15" i="2"/>
  <c r="FZ109" i="2" s="1"/>
  <c r="EB13" i="2"/>
  <c r="EG15" i="2"/>
  <c r="CX13" i="2"/>
  <c r="DC13" i="2" s="1"/>
  <c r="DC15" i="2"/>
  <c r="BT13" i="2"/>
  <c r="BY15" i="2"/>
  <c r="CN64" i="2" s="1"/>
  <c r="FF9" i="2"/>
  <c r="FL9" i="2" s="1"/>
  <c r="FK11" i="2"/>
  <c r="FH9" i="2"/>
  <c r="FE26" i="2"/>
  <c r="FH26" i="2" s="1"/>
  <c r="EB9" i="2"/>
  <c r="EG9" i="2" s="1"/>
  <c r="EG11" i="2"/>
  <c r="ED9" i="2"/>
  <c r="EA26" i="2"/>
  <c r="ED26" i="2"/>
  <c r="CX9" i="2"/>
  <c r="DD9" i="2" s="1"/>
  <c r="DC11" i="2"/>
  <c r="CZ9" i="2"/>
  <c r="CW26" i="2"/>
  <c r="CZ26" i="2" s="1"/>
  <c r="BT9" i="2"/>
  <c r="BY11" i="2"/>
  <c r="DC60" i="2" s="1"/>
  <c r="FF5" i="2"/>
  <c r="FL5" i="2" s="1"/>
  <c r="FK7" i="2"/>
  <c r="EB5" i="2"/>
  <c r="EG5" i="2" s="1"/>
  <c r="EG7" i="2"/>
  <c r="CX5" i="2"/>
  <c r="DD5" i="2"/>
  <c r="DC7" i="2"/>
  <c r="BT5" i="2"/>
  <c r="BY7" i="2"/>
  <c r="CN56" i="2" s="1"/>
  <c r="AA5" i="2"/>
  <c r="AM54" i="2"/>
  <c r="AR54" i="2" s="1"/>
  <c r="O6" i="2"/>
  <c r="O55" i="2"/>
  <c r="O54" i="2" s="1"/>
  <c r="I26" i="2"/>
  <c r="L5" i="2"/>
  <c r="T54" i="2"/>
  <c r="AA54" i="2" s="1"/>
  <c r="FV26" i="2"/>
  <c r="ER26" i="2"/>
  <c r="DN26" i="2"/>
  <c r="CJ26" i="2"/>
  <c r="AF26" i="2"/>
  <c r="EQ21" i="2"/>
  <c r="EW21" i="2"/>
  <c r="ES21" i="2"/>
  <c r="CI21" i="2"/>
  <c r="CN21" i="2" s="1"/>
  <c r="CK21" i="2"/>
  <c r="AQ21" i="2"/>
  <c r="K21" i="2"/>
  <c r="FV17" i="2"/>
  <c r="FG17" i="2"/>
  <c r="ER17" i="2"/>
  <c r="EC17" i="2"/>
  <c r="DN17" i="2"/>
  <c r="CY17" i="2"/>
  <c r="CJ17" i="2"/>
  <c r="BU17" i="2"/>
  <c r="BF17" i="2"/>
  <c r="FK13" i="2"/>
  <c r="EG13" i="2"/>
  <c r="BY13" i="2"/>
  <c r="FK9" i="2"/>
  <c r="BY9" i="2"/>
  <c r="FK5" i="2"/>
  <c r="DC5" i="2"/>
  <c r="AU5" i="2"/>
  <c r="O26" i="2"/>
  <c r="BK75" i="2"/>
  <c r="P75" i="2"/>
  <c r="AQ54" i="2"/>
  <c r="EG56" i="2"/>
  <c r="FK56" i="2"/>
  <c r="CN60" i="2"/>
  <c r="EG60" i="2"/>
  <c r="FK60" i="2"/>
  <c r="BY64" i="2"/>
  <c r="EG64" i="2"/>
  <c r="FK64" i="2"/>
  <c r="CN109" i="2"/>
  <c r="AV21" i="2"/>
  <c r="AU21" i="2"/>
  <c r="AO113" i="2"/>
  <c r="AO70" i="2"/>
  <c r="AV70" i="2"/>
  <c r="FH54" i="2"/>
  <c r="FG54" i="2"/>
  <c r="EC54" i="2"/>
  <c r="CZ54" i="2"/>
  <c r="CY54" i="2"/>
  <c r="BU54" i="2"/>
  <c r="FH62" i="2"/>
  <c r="FG62" i="2"/>
  <c r="ED62" i="2"/>
  <c r="EC62" i="2"/>
  <c r="CZ62" i="2"/>
  <c r="CY62" i="2"/>
  <c r="BV62" i="2"/>
  <c r="BU62" i="2"/>
  <c r="BE70" i="2"/>
  <c r="EG115" i="2"/>
  <c r="FZ72" i="2"/>
  <c r="GA113" i="2"/>
  <c r="AS104" i="2"/>
  <c r="ER66" i="2"/>
  <c r="ES66" i="2"/>
  <c r="CJ66" i="2"/>
  <c r="CK66" i="2"/>
  <c r="AQ66" i="2"/>
  <c r="AR66" i="2"/>
  <c r="BJ68" i="2"/>
  <c r="CN68" i="2"/>
  <c r="DR68" i="2"/>
  <c r="EV68" i="2"/>
  <c r="FZ68" i="2"/>
  <c r="AU68" i="2"/>
  <c r="AU112" i="2" s="1"/>
  <c r="BY68" i="2"/>
  <c r="DC68" i="2"/>
  <c r="EG68" i="2"/>
  <c r="FK68" i="2"/>
  <c r="AE26" i="2"/>
  <c r="BZ75" i="2"/>
  <c r="CO75" i="2"/>
  <c r="DD75" i="2"/>
  <c r="EH75" i="2"/>
  <c r="EW75" i="2"/>
  <c r="FL75" i="2"/>
  <c r="AF21" i="2"/>
  <c r="AE21" i="2"/>
  <c r="Y70" i="2"/>
  <c r="AF70" i="2"/>
  <c r="CK117" i="2"/>
  <c r="CJ117" i="2"/>
  <c r="FW117" i="2"/>
  <c r="FV117" i="2"/>
  <c r="BF75" i="2"/>
  <c r="BG75" i="2"/>
  <c r="FV75" i="2"/>
  <c r="FW75" i="2"/>
  <c r="BU75" i="2"/>
  <c r="BV75" i="2"/>
  <c r="EG103" i="2"/>
  <c r="EG101" i="2" s="1"/>
  <c r="EG106" i="2"/>
  <c r="EG104" i="2"/>
  <c r="EG109" i="2"/>
  <c r="EG107" i="2" s="1"/>
  <c r="CY26" i="2"/>
  <c r="FZ103" i="2"/>
  <c r="FZ101" i="2" s="1"/>
  <c r="FZ106" i="2"/>
  <c r="FZ104" i="2"/>
  <c r="DD26" i="2"/>
  <c r="BK5" i="2"/>
  <c r="DR5" i="2"/>
  <c r="DS9" i="2"/>
  <c r="GA104" i="2"/>
  <c r="BJ13" i="2"/>
  <c r="BJ21" i="2"/>
  <c r="FZ21" i="2"/>
  <c r="FG26" i="2"/>
  <c r="O46" i="2"/>
  <c r="BG70" i="2"/>
  <c r="BU66" i="2"/>
  <c r="EC66" i="2"/>
  <c r="ES70" i="2"/>
  <c r="AQ117" i="2"/>
  <c r="BK26" i="2"/>
  <c r="GA87" i="2"/>
  <c r="DS21" i="2"/>
  <c r="DR72" i="2"/>
  <c r="FK72" i="2"/>
  <c r="DC72" i="2"/>
  <c r="AV26" i="2"/>
  <c r="GA117" i="2"/>
  <c r="BF58" i="2"/>
  <c r="BU58" i="2"/>
  <c r="CJ58" i="2"/>
  <c r="CY58" i="2"/>
  <c r="DN58" i="2"/>
  <c r="EC58" i="2"/>
  <c r="ER58" i="2"/>
  <c r="FG58" i="2"/>
  <c r="FV58" i="2"/>
  <c r="AB66" i="2"/>
  <c r="CY66" i="2"/>
  <c r="FG66" i="2"/>
  <c r="CJ70" i="2"/>
  <c r="CO21" i="2"/>
  <c r="BZ5" i="2"/>
  <c r="EH5" i="2"/>
  <c r="EB101" i="2"/>
  <c r="EH101" i="2"/>
  <c r="BZ9" i="2"/>
  <c r="EH9" i="2"/>
  <c r="EB104" i="2"/>
  <c r="EH104" i="2"/>
  <c r="P21" i="2"/>
  <c r="O21" i="2"/>
  <c r="I70" i="2"/>
  <c r="BK70" i="2"/>
  <c r="P70" i="2"/>
  <c r="AU55" i="2"/>
  <c r="BJ55" i="2"/>
  <c r="BJ54" i="2"/>
  <c r="BY55" i="2"/>
  <c r="CN55" i="2"/>
  <c r="CN54" i="2" s="1"/>
  <c r="DC55" i="2"/>
  <c r="DR55" i="2"/>
  <c r="EG55" i="2"/>
  <c r="EG54" i="2"/>
  <c r="EV55" i="2"/>
  <c r="FK55" i="2"/>
  <c r="FK54" i="2" s="1"/>
  <c r="FZ55" i="2"/>
  <c r="FW54" i="2"/>
  <c r="FV54" i="2"/>
  <c r="ES54" i="2"/>
  <c r="ER54" i="2"/>
  <c r="DO54" i="2"/>
  <c r="DN54" i="2"/>
  <c r="CK54" i="2"/>
  <c r="CJ54" i="2"/>
  <c r="BG54" i="2"/>
  <c r="BF54" i="2"/>
  <c r="BJ63" i="2"/>
  <c r="BJ62" i="2"/>
  <c r="BY63" i="2"/>
  <c r="BY62" i="2" s="1"/>
  <c r="AU63" i="2"/>
  <c r="FW62" i="2"/>
  <c r="FV62" i="2"/>
  <c r="ES62" i="2"/>
  <c r="ER62" i="2"/>
  <c r="DO62" i="2"/>
  <c r="DN62" i="2"/>
  <c r="CK62" i="2"/>
  <c r="CJ62" i="2"/>
  <c r="BG62" i="2"/>
  <c r="BF62" i="2"/>
  <c r="BJ71" i="2"/>
  <c r="BJ70" i="2" s="1"/>
  <c r="CN71" i="2"/>
  <c r="CN70" i="2"/>
  <c r="DR71" i="2"/>
  <c r="DR70" i="2" s="1"/>
  <c r="EV71" i="2"/>
  <c r="FZ71" i="2"/>
  <c r="FZ70" i="2"/>
  <c r="BY71" i="2"/>
  <c r="BY70" i="2" s="1"/>
  <c r="DC71" i="2"/>
  <c r="DC70" i="2"/>
  <c r="FK71" i="2"/>
  <c r="FK70" i="2" s="1"/>
  <c r="CN114" i="2"/>
  <c r="CN113" i="2"/>
  <c r="EG71" i="2"/>
  <c r="O38" i="2"/>
  <c r="P38" i="2"/>
  <c r="AS101" i="2"/>
  <c r="FV66" i="2"/>
  <c r="FW66" i="2"/>
  <c r="DN66" i="2"/>
  <c r="DO66" i="2"/>
  <c r="BF66" i="2"/>
  <c r="BG66" i="2"/>
  <c r="AV17" i="2"/>
  <c r="AU17" i="2"/>
  <c r="DN75" i="2"/>
  <c r="DO75" i="2"/>
  <c r="EV21" i="2"/>
  <c r="AB54" i="2"/>
  <c r="AU71" i="2"/>
  <c r="AE55" i="2"/>
  <c r="AE54" i="2" s="1"/>
  <c r="FU104" i="2"/>
  <c r="EG113" i="2"/>
  <c r="FZ113" i="2"/>
  <c r="CN106" i="2"/>
  <c r="CN104" i="2" s="1"/>
  <c r="EC26" i="2"/>
  <c r="BJ5" i="2"/>
  <c r="FZ5" i="2"/>
  <c r="BJ9" i="2"/>
  <c r="GA9" i="2"/>
  <c r="BK13" i="2"/>
  <c r="AE71" i="2"/>
  <c r="AE70" i="2"/>
  <c r="BK21" i="2"/>
  <c r="GA21" i="2"/>
  <c r="EH117" i="2"/>
  <c r="DR21" i="2"/>
  <c r="EV72" i="2"/>
  <c r="EV70" i="2" s="1"/>
  <c r="EG72" i="2"/>
  <c r="AU116" i="2"/>
  <c r="AV75" i="2"/>
  <c r="CO117" i="2"/>
  <c r="AU62" i="2"/>
  <c r="AU114" i="2"/>
  <c r="AU54" i="2"/>
  <c r="AV113" i="2"/>
  <c r="FU113" i="2"/>
  <c r="FZ64" i="2"/>
  <c r="EV64" i="2"/>
  <c r="DR64" i="2"/>
  <c r="FZ60" i="2"/>
  <c r="EV60" i="2"/>
  <c r="FZ56" i="2"/>
  <c r="FZ54" i="2" s="1"/>
  <c r="EV56" i="2"/>
  <c r="EV54" i="2"/>
  <c r="DR56" i="2"/>
  <c r="DR54" i="2" s="1"/>
  <c r="BY5" i="2"/>
  <c r="DC9" i="2"/>
  <c r="CK115" i="2"/>
  <c r="CJ115" i="2"/>
  <c r="FV113" i="2"/>
  <c r="AQ112" i="2"/>
  <c r="AR112" i="2"/>
  <c r="FW111" i="2"/>
  <c r="CJ111" i="2"/>
  <c r="AQ111" i="2"/>
  <c r="AR111" i="2"/>
  <c r="CL117" i="2"/>
  <c r="V31" i="8"/>
  <c r="AA28" i="8"/>
  <c r="V28" i="8"/>
  <c r="AA24" i="8"/>
  <c r="V24" i="8"/>
  <c r="AA20" i="8"/>
  <c r="V20" i="8"/>
  <c r="AR116" i="2"/>
  <c r="FW115" i="2"/>
  <c r="FV115" i="2"/>
  <c r="ED115" i="2"/>
  <c r="EC113" i="2"/>
  <c r="ED113" i="2"/>
  <c r="ED111" i="2"/>
  <c r="EC111" i="2"/>
  <c r="FW110" i="2"/>
  <c r="FV110" i="2"/>
  <c r="EB117" i="2"/>
  <c r="DX117" i="2"/>
  <c r="FY117" i="2"/>
  <c r="O78" i="2"/>
  <c r="I75" i="2"/>
  <c r="F75" i="2"/>
  <c r="EC110" i="2"/>
  <c r="CJ110" i="2"/>
  <c r="FV109" i="2"/>
  <c r="CJ109" i="2"/>
  <c r="AQ109" i="2"/>
  <c r="FV108" i="2"/>
  <c r="CJ108" i="2"/>
  <c r="CK107" i="2"/>
  <c r="AQ103" i="2"/>
  <c r="FV102" i="2"/>
  <c r="AQ102" i="2"/>
  <c r="FU97" i="2"/>
  <c r="FZ97" i="2"/>
  <c r="FU95" i="2"/>
  <c r="FZ95" i="2" s="1"/>
  <c r="G87" i="2"/>
  <c r="L79" i="2"/>
  <c r="K78" i="2"/>
  <c r="AR73" i="2"/>
  <c r="AA73" i="2"/>
  <c r="FG72" i="2"/>
  <c r="EC72" i="2"/>
  <c r="CY72" i="2"/>
  <c r="BU72" i="2"/>
  <c r="AA71" i="2"/>
  <c r="BV68" i="2"/>
  <c r="CZ67" i="2"/>
  <c r="AR63" i="2"/>
  <c r="AA63" i="2"/>
  <c r="K62" i="2"/>
  <c r="CF75" i="2"/>
  <c r="AK75" i="2"/>
  <c r="E75" i="2"/>
  <c r="EL75" i="2"/>
  <c r="CD75" i="2"/>
  <c r="FC75" i="2"/>
  <c r="CU75" i="2"/>
  <c r="FA75" i="2"/>
  <c r="CS75" i="2"/>
  <c r="J75" i="2"/>
  <c r="L29" i="2"/>
  <c r="BG26" i="2"/>
  <c r="EB21" i="2"/>
  <c r="DD17" i="2"/>
  <c r="DM13" i="2"/>
  <c r="I13" i="2"/>
  <c r="AR58" i="2"/>
  <c r="L48" i="2"/>
  <c r="FU17" i="2"/>
  <c r="DM17" i="2"/>
  <c r="BE17" i="2"/>
  <c r="DR13" i="2"/>
  <c r="EB107" i="2"/>
  <c r="EH107" i="2"/>
  <c r="L87" i="2"/>
  <c r="K87" i="2"/>
  <c r="BJ17" i="2"/>
  <c r="I62" i="2"/>
  <c r="O13" i="2"/>
  <c r="BK17" i="2"/>
  <c r="DS17" i="2"/>
  <c r="GA17" i="2"/>
  <c r="FZ17" i="2"/>
  <c r="CZ75" i="2"/>
  <c r="CY75" i="2"/>
  <c r="CK75" i="2"/>
  <c r="CJ75" i="2"/>
  <c r="K75" i="2"/>
  <c r="L75" i="2"/>
  <c r="EH21" i="2"/>
  <c r="K86" i="3"/>
  <c r="K88" i="3"/>
  <c r="E88" i="3"/>
  <c r="D85" i="3"/>
  <c r="Q85" i="3" s="1"/>
  <c r="K87" i="3"/>
  <c r="AV34" i="3"/>
  <c r="EG70" i="2" l="1"/>
  <c r="DS75" i="2"/>
  <c r="ED54" i="2"/>
  <c r="BV54" i="2"/>
  <c r="AR110" i="2"/>
  <c r="BV66" i="2"/>
  <c r="ER70" i="2"/>
  <c r="AQ70" i="2"/>
  <c r="AR117" i="2"/>
  <c r="AA31" i="8"/>
  <c r="V29" i="8"/>
  <c r="V27" i="8"/>
  <c r="T26" i="8"/>
  <c r="V26" i="8"/>
  <c r="V25" i="8"/>
  <c r="V23" i="8"/>
  <c r="T22" i="8"/>
  <c r="V22" i="8"/>
  <c r="V21" i="8"/>
  <c r="K29" i="8"/>
  <c r="CJ116" i="2"/>
  <c r="AQ116" i="2"/>
  <c r="EC115" i="2"/>
  <c r="AR115" i="2"/>
  <c r="FW114" i="2"/>
  <c r="DY117" i="2"/>
  <c r="CK114" i="2"/>
  <c r="CJ113" i="2"/>
  <c r="FV111" i="2"/>
  <c r="FZ110" i="2"/>
  <c r="ED110" i="2"/>
  <c r="FW109" i="2"/>
  <c r="EC109" i="2"/>
  <c r="CK109" i="2"/>
  <c r="AR109" i="2"/>
  <c r="ED108" i="2"/>
  <c r="CK108" i="2"/>
  <c r="CM117" i="2"/>
  <c r="AQ107" i="2"/>
  <c r="EC106" i="2"/>
  <c r="AR104" i="2"/>
  <c r="FV103" i="2"/>
  <c r="ED103" i="2"/>
  <c r="EC103" i="2"/>
  <c r="AR103" i="2"/>
  <c r="CJ102" i="2"/>
  <c r="AR102" i="2"/>
  <c r="EC101" i="2"/>
  <c r="FW87" i="2"/>
  <c r="K79" i="2"/>
  <c r="I79" i="2"/>
  <c r="FW73" i="2"/>
  <c r="FH73" i="2"/>
  <c r="DO73" i="2"/>
  <c r="CZ73" i="2"/>
  <c r="BG73" i="2"/>
  <c r="AQ73" i="2"/>
  <c r="L73" i="2"/>
  <c r="FH72" i="2"/>
  <c r="FB75" i="2"/>
  <c r="CZ72" i="2"/>
  <c r="BV72" i="2"/>
  <c r="K72" i="2"/>
  <c r="ER71" i="2"/>
  <c r="EC71" i="2"/>
  <c r="BV71" i="2"/>
  <c r="AP75" i="2"/>
  <c r="AQ71" i="2"/>
  <c r="FH70" i="2"/>
  <c r="BV70" i="2"/>
  <c r="FV68" i="2"/>
  <c r="EM75" i="2"/>
  <c r="ED68" i="2"/>
  <c r="DO68" i="2"/>
  <c r="ER67" i="2"/>
  <c r="CK67" i="2"/>
  <c r="AA67" i="2"/>
  <c r="AS111" i="2"/>
  <c r="AS117" i="2" s="1"/>
  <c r="FH64" i="2"/>
  <c r="CZ64" i="2"/>
  <c r="BF64" i="2"/>
  <c r="FH63" i="2"/>
  <c r="CZ63" i="2"/>
  <c r="BG63" i="2"/>
  <c r="AB63" i="2"/>
  <c r="K63" i="2"/>
  <c r="ES60" i="2"/>
  <c r="CK60" i="2"/>
  <c r="FW59" i="2"/>
  <c r="BV59" i="2"/>
  <c r="BG59" i="2"/>
  <c r="AT105" i="2"/>
  <c r="AA59" i="2"/>
  <c r="AB59" i="2"/>
  <c r="AQ58" i="2"/>
  <c r="AT104" i="2"/>
  <c r="AT117" i="2" s="1"/>
  <c r="ES56" i="2"/>
  <c r="ED56" i="2"/>
  <c r="AR56" i="2"/>
  <c r="AA56" i="2"/>
  <c r="AT103" i="2"/>
  <c r="ES55" i="2"/>
  <c r="ED55" i="2"/>
  <c r="AQ55" i="2"/>
  <c r="AT102" i="2"/>
  <c r="AB55" i="2"/>
  <c r="K48" i="2"/>
  <c r="EW26" i="2"/>
  <c r="DS26" i="2"/>
  <c r="BY26" i="2"/>
  <c r="BU26" i="2"/>
  <c r="BF26" i="2"/>
  <c r="AB26" i="2"/>
  <c r="CX21" i="2"/>
  <c r="CJ21" i="2"/>
  <c r="BT21" i="2"/>
  <c r="AU72" i="2"/>
  <c r="FF17" i="2"/>
  <c r="FH17" i="2"/>
  <c r="EQ17" i="2"/>
  <c r="ES17" i="2"/>
  <c r="EB17" i="2"/>
  <c r="ED17" i="2"/>
  <c r="DO17" i="2"/>
  <c r="CI17" i="2"/>
  <c r="BZ17" i="2"/>
  <c r="BG17" i="2"/>
  <c r="AR17" i="2"/>
  <c r="Y17" i="2"/>
  <c r="I17" i="2"/>
  <c r="BK66" i="2" s="1"/>
  <c r="K17" i="2"/>
  <c r="FU13" i="2"/>
  <c r="FH13" i="2"/>
  <c r="FG13" i="2"/>
  <c r="EQ13" i="2"/>
  <c r="EV13" i="2" s="1"/>
  <c r="ED13" i="2"/>
  <c r="EC13" i="2"/>
  <c r="CZ13" i="2"/>
  <c r="CY13" i="2"/>
  <c r="CI13" i="2"/>
  <c r="BV13" i="2"/>
  <c r="BU13" i="2"/>
  <c r="AO13" i="2"/>
  <c r="Y13" i="2"/>
  <c r="AL62" i="2"/>
  <c r="AA13" i="2"/>
  <c r="CY9" i="2"/>
  <c r="CI9" i="2"/>
  <c r="BU9" i="2"/>
  <c r="AO9" i="2"/>
  <c r="Y9" i="2"/>
  <c r="AA9" i="2"/>
  <c r="I9" i="2"/>
  <c r="L9" i="2"/>
  <c r="ED5" i="2"/>
  <c r="CZ5" i="2"/>
  <c r="CI5" i="2"/>
  <c r="BU5" i="2"/>
  <c r="Y5" i="2"/>
  <c r="I5" i="2"/>
  <c r="V90" i="3"/>
  <c r="AE90" i="3"/>
  <c r="AI90" i="3" s="1"/>
  <c r="X98" i="3"/>
  <c r="AE94" i="3"/>
  <c r="AR94" i="3" s="1"/>
  <c r="AX94" i="3" s="1"/>
  <c r="X94" i="3"/>
  <c r="AM38" i="9"/>
  <c r="AH62" i="9"/>
  <c r="U90" i="3"/>
  <c r="Y90" i="3" s="1"/>
  <c r="W90" i="3"/>
  <c r="EV6" i="3"/>
  <c r="K91" i="3"/>
  <c r="E91" i="3"/>
  <c r="G91" i="3"/>
  <c r="S88" i="3"/>
  <c r="AF88" i="3" s="1"/>
  <c r="AS88" i="3" s="1"/>
  <c r="BF88" i="3" s="1"/>
  <c r="BS88" i="3" s="1"/>
  <c r="F91" i="3"/>
  <c r="Q88" i="3"/>
  <c r="AD88" i="3" s="1"/>
  <c r="D91" i="3"/>
  <c r="EI6" i="3"/>
  <c r="BH38" i="9"/>
  <c r="BH62" i="9" s="1"/>
  <c r="BC62" i="9"/>
  <c r="DY45" i="3"/>
  <c r="DV45" i="3"/>
  <c r="DY32" i="3"/>
  <c r="DV32" i="3"/>
  <c r="DZ46" i="3"/>
  <c r="DV46" i="3"/>
  <c r="DV6" i="3"/>
  <c r="DY33" i="3"/>
  <c r="DV33" i="3"/>
  <c r="DZ47" i="3"/>
  <c r="DV47" i="3"/>
  <c r="AI76" i="3"/>
  <c r="DI6" i="3"/>
  <c r="EJ28" i="3"/>
  <c r="W78" i="3"/>
  <c r="W62" i="3"/>
  <c r="BW28" i="3"/>
  <c r="J85" i="3"/>
  <c r="W97" i="3"/>
  <c r="AF85" i="3"/>
  <c r="AG66" i="3"/>
  <c r="AG68" i="3"/>
  <c r="W68" i="3"/>
  <c r="T89" i="3"/>
  <c r="J89" i="3"/>
  <c r="H86" i="3"/>
  <c r="I86" i="3" s="1"/>
  <c r="EU51" i="3"/>
  <c r="EV51" i="3" s="1"/>
  <c r="AD78" i="3"/>
  <c r="AQ78" i="3" s="1"/>
  <c r="X78" i="3"/>
  <c r="AD68" i="3"/>
  <c r="AQ68" i="3" s="1"/>
  <c r="X68" i="3"/>
  <c r="AD62" i="3"/>
  <c r="AQ62" i="3" s="1"/>
  <c r="BD62" i="3" s="1"/>
  <c r="BQ62" i="3" s="1"/>
  <c r="X62" i="3"/>
  <c r="EW28" i="3"/>
  <c r="AW28" i="3"/>
  <c r="J28" i="3"/>
  <c r="T88" i="3"/>
  <c r="J88" i="3"/>
  <c r="AG72" i="3"/>
  <c r="I90" i="3"/>
  <c r="H90" i="3"/>
  <c r="AD72" i="3"/>
  <c r="AQ72" i="3" s="1"/>
  <c r="BD72" i="3" s="1"/>
  <c r="BQ72" i="3" s="1"/>
  <c r="CD72" i="3" s="1"/>
  <c r="CQ72" i="3" s="1"/>
  <c r="DD72" i="3" s="1"/>
  <c r="DQ72" i="3" s="1"/>
  <c r="ED72" i="3" s="1"/>
  <c r="EQ72" i="3" s="1"/>
  <c r="AD66" i="3"/>
  <c r="AQ66" i="3" s="1"/>
  <c r="BD66" i="3" s="1"/>
  <c r="BQ66" i="3" s="1"/>
  <c r="CD66" i="3" s="1"/>
  <c r="CQ66" i="3" s="1"/>
  <c r="DD66" i="3" s="1"/>
  <c r="DQ66" i="3" s="1"/>
  <c r="ED66" i="3" s="1"/>
  <c r="EQ66" i="3" s="1"/>
  <c r="J51" i="3"/>
  <c r="AE74" i="3"/>
  <c r="AR74" i="3" s="1"/>
  <c r="BE74" i="3" s="1"/>
  <c r="BR74" i="3" s="1"/>
  <c r="AE64" i="3"/>
  <c r="AR64" i="3" s="1"/>
  <c r="BE64" i="3" s="1"/>
  <c r="BR64" i="3" s="1"/>
  <c r="R89" i="3"/>
  <c r="AE89" i="3" s="1"/>
  <c r="AR89" i="3" s="1"/>
  <c r="H89" i="3"/>
  <c r="I89" i="3" s="1"/>
  <c r="AU51" i="3"/>
  <c r="AV51" i="3" s="1"/>
  <c r="U51" i="3"/>
  <c r="Y51" i="3" s="1"/>
  <c r="AS94" i="3"/>
  <c r="BF94" i="3" s="1"/>
  <c r="AL76" i="3"/>
  <c r="T87" i="3"/>
  <c r="J87" i="3"/>
  <c r="X74" i="3"/>
  <c r="T86" i="3"/>
  <c r="J86" i="3"/>
  <c r="AG80" i="3"/>
  <c r="W80" i="3"/>
  <c r="AE78" i="3"/>
  <c r="AR78" i="3" s="1"/>
  <c r="BE78" i="3" s="1"/>
  <c r="AE62" i="3"/>
  <c r="AR62" i="3" s="1"/>
  <c r="BE62" i="3" s="1"/>
  <c r="R87" i="3"/>
  <c r="AE87" i="3" s="1"/>
  <c r="H87" i="3"/>
  <c r="I87" i="3" s="1"/>
  <c r="AF96" i="3"/>
  <c r="AF103" i="3" s="1"/>
  <c r="S101" i="3"/>
  <c r="CU51" i="3"/>
  <c r="CY51" i="3" s="1"/>
  <c r="J90" i="3"/>
  <c r="AG98" i="3"/>
  <c r="AT98" i="3" s="1"/>
  <c r="W98" i="3"/>
  <c r="AT90" i="3"/>
  <c r="AJ90" i="3"/>
  <c r="BE76" i="3"/>
  <c r="AX76" i="3"/>
  <c r="AW76" i="3"/>
  <c r="AU76" i="3"/>
  <c r="AZ76" i="3" s="1"/>
  <c r="R88" i="3"/>
  <c r="H88" i="3"/>
  <c r="X80" i="3"/>
  <c r="X70" i="3"/>
  <c r="AD64" i="3"/>
  <c r="AQ64" i="3" s="1"/>
  <c r="X64" i="3"/>
  <c r="AE70" i="3"/>
  <c r="AR70" i="3" s="1"/>
  <c r="BE70" i="3" s="1"/>
  <c r="AE85" i="3"/>
  <c r="AE98" i="3"/>
  <c r="AR98" i="3" s="1"/>
  <c r="BE98" i="3" s="1"/>
  <c r="BK98" i="3" s="1"/>
  <c r="AE97" i="3"/>
  <c r="AR97" i="3" s="1"/>
  <c r="BE97" i="3" s="1"/>
  <c r="BK97" i="3" s="1"/>
  <c r="BU51" i="3"/>
  <c r="BY51" i="3" s="1"/>
  <c r="H51" i="3"/>
  <c r="L51" i="3" s="1"/>
  <c r="EG76" i="3"/>
  <c r="EM44" i="3"/>
  <c r="EH49" i="3"/>
  <c r="AV44" i="3"/>
  <c r="AU49" i="3"/>
  <c r="AV49" i="3" s="1"/>
  <c r="Z44" i="3"/>
  <c r="U49" i="3"/>
  <c r="V49" i="3" s="1"/>
  <c r="CL31" i="3"/>
  <c r="CH38" i="3"/>
  <c r="CI38" i="3" s="1"/>
  <c r="BM31" i="3"/>
  <c r="BH38" i="3"/>
  <c r="AM31" i="3"/>
  <c r="AH38" i="3"/>
  <c r="AL38" i="3" s="1"/>
  <c r="DZ44" i="3"/>
  <c r="DU49" i="3"/>
  <c r="EU38" i="3"/>
  <c r="CH51" i="3"/>
  <c r="CI51" i="3" s="1"/>
  <c r="DH51" i="3"/>
  <c r="DM51" i="3" s="1"/>
  <c r="EM31" i="3"/>
  <c r="EH38" i="3"/>
  <c r="EY44" i="3"/>
  <c r="EU49" i="3"/>
  <c r="BH51" i="3"/>
  <c r="BM51" i="3" s="1"/>
  <c r="AY31" i="3"/>
  <c r="AU38" i="3"/>
  <c r="AH51" i="3"/>
  <c r="AM51" i="3" s="1"/>
  <c r="Y31" i="3"/>
  <c r="U38" i="3"/>
  <c r="V38" i="3" s="1"/>
  <c r="CI44" i="3"/>
  <c r="CH49" i="3"/>
  <c r="CI49" i="3" s="1"/>
  <c r="DL44" i="3"/>
  <c r="DH49" i="3"/>
  <c r="DI49" i="3" s="1"/>
  <c r="L31" i="3"/>
  <c r="L85" i="3" s="1"/>
  <c r="H38" i="3"/>
  <c r="I38" i="3" s="1"/>
  <c r="BY44" i="3"/>
  <c r="BU49" i="3"/>
  <c r="BV49" i="3" s="1"/>
  <c r="BM44" i="3"/>
  <c r="BH49" i="3"/>
  <c r="BI49" i="3" s="1"/>
  <c r="AL44" i="3"/>
  <c r="AH49" i="3"/>
  <c r="AI49" i="3" s="1"/>
  <c r="CZ31" i="3"/>
  <c r="CU38" i="3"/>
  <c r="CY38" i="3" s="1"/>
  <c r="DL31" i="3"/>
  <c r="DH38" i="3"/>
  <c r="DL38" i="3" s="1"/>
  <c r="CZ44" i="3"/>
  <c r="CU49" i="3"/>
  <c r="CV49" i="3" s="1"/>
  <c r="DZ42" i="3"/>
  <c r="DU51" i="3"/>
  <c r="DY51" i="3" s="1"/>
  <c r="BV31" i="3"/>
  <c r="BU38" i="3"/>
  <c r="BV38" i="3" s="1"/>
  <c r="DY31" i="3"/>
  <c r="DU38" i="3"/>
  <c r="DY38" i="3" s="1"/>
  <c r="EH51" i="3"/>
  <c r="BM36" i="3"/>
  <c r="BL36" i="3"/>
  <c r="BM35" i="3"/>
  <c r="BL35" i="3"/>
  <c r="I34" i="3"/>
  <c r="M34" i="3"/>
  <c r="M88" i="3" s="1"/>
  <c r="L34" i="3"/>
  <c r="L88" i="3" s="1"/>
  <c r="EM34" i="3"/>
  <c r="EL34" i="3"/>
  <c r="AL34" i="3"/>
  <c r="AI34" i="3"/>
  <c r="EM35" i="3"/>
  <c r="EL35" i="3"/>
  <c r="EM36" i="3"/>
  <c r="EL36" i="3"/>
  <c r="EY35" i="3"/>
  <c r="EZ35" i="3"/>
  <c r="Y36" i="3"/>
  <c r="Z36" i="3"/>
  <c r="AL35" i="3"/>
  <c r="AI35" i="3"/>
  <c r="EZ36" i="3"/>
  <c r="EY36" i="3"/>
  <c r="BY34" i="3"/>
  <c r="BZ34" i="3"/>
  <c r="BY35" i="3"/>
  <c r="BZ35" i="3"/>
  <c r="L36" i="3"/>
  <c r="L90" i="3" s="1"/>
  <c r="M36" i="3"/>
  <c r="M90" i="3" s="1"/>
  <c r="CM34" i="3"/>
  <c r="CL34" i="3"/>
  <c r="Y35" i="3"/>
  <c r="V35" i="3"/>
  <c r="Z35" i="3"/>
  <c r="CM35" i="3"/>
  <c r="CL35" i="3"/>
  <c r="CM36" i="3"/>
  <c r="CL36" i="3"/>
  <c r="CZ34" i="3"/>
  <c r="CY34" i="3"/>
  <c r="Z34" i="3"/>
  <c r="V34" i="3"/>
  <c r="Y34" i="3"/>
  <c r="CZ35" i="3"/>
  <c r="CY35" i="3"/>
  <c r="M35" i="3"/>
  <c r="M89" i="3" s="1"/>
  <c r="I35" i="3"/>
  <c r="L35" i="3"/>
  <c r="L89" i="3" s="1"/>
  <c r="BM34" i="3"/>
  <c r="BL34" i="3"/>
  <c r="L49" i="3"/>
  <c r="M49" i="3"/>
  <c r="EZ34" i="3"/>
  <c r="EY34" i="3"/>
  <c r="CZ36" i="3"/>
  <c r="CY36" i="3"/>
  <c r="CW51" i="3"/>
  <c r="CJ28" i="3"/>
  <c r="EW38" i="3"/>
  <c r="DW51" i="3"/>
  <c r="W51" i="3"/>
  <c r="DJ28" i="3"/>
  <c r="DJ51" i="3"/>
  <c r="EJ51" i="3"/>
  <c r="AJ51" i="3"/>
  <c r="DW28" i="3"/>
  <c r="BZ33" i="3"/>
  <c r="BV33" i="3"/>
  <c r="BY33" i="3"/>
  <c r="BZ47" i="3"/>
  <c r="BV47" i="3"/>
  <c r="BY47" i="3"/>
  <c r="BM42" i="3"/>
  <c r="BI42" i="3"/>
  <c r="BL42" i="3"/>
  <c r="AZ47" i="3"/>
  <c r="AV47" i="3"/>
  <c r="AY47" i="3"/>
  <c r="CZ32" i="3"/>
  <c r="CY32" i="3"/>
  <c r="CV32" i="3"/>
  <c r="EZ18" i="3"/>
  <c r="EY18" i="3"/>
  <c r="EZ31" i="3"/>
  <c r="EY31" i="3"/>
  <c r="CZ33" i="3"/>
  <c r="CV33" i="3"/>
  <c r="CY33" i="3"/>
  <c r="EM42" i="3"/>
  <c r="EL42" i="3"/>
  <c r="DM16" i="3"/>
  <c r="DI16" i="3"/>
  <c r="DL16" i="3"/>
  <c r="BM45" i="3"/>
  <c r="BL45" i="3"/>
  <c r="BI45" i="3"/>
  <c r="CM33" i="3"/>
  <c r="CL33" i="3"/>
  <c r="CI33" i="3"/>
  <c r="DM42" i="3"/>
  <c r="DL42" i="3"/>
  <c r="DI42" i="3"/>
  <c r="DZ20" i="3"/>
  <c r="DY20" i="3"/>
  <c r="EM8" i="3"/>
  <c r="EL8" i="3"/>
  <c r="EZ8" i="3"/>
  <c r="EY8" i="3"/>
  <c r="EZ45" i="3"/>
  <c r="EY45" i="3"/>
  <c r="DM18" i="3"/>
  <c r="DL18" i="3"/>
  <c r="DI18" i="3"/>
  <c r="BM46" i="3"/>
  <c r="BL46" i="3"/>
  <c r="BI46" i="3"/>
  <c r="EM26" i="3"/>
  <c r="EL26" i="3"/>
  <c r="EZ26" i="3"/>
  <c r="EY26" i="3"/>
  <c r="BZ42" i="3"/>
  <c r="BV42" i="3"/>
  <c r="BY42" i="3"/>
  <c r="BM33" i="3"/>
  <c r="BL33" i="3"/>
  <c r="BI33" i="3"/>
  <c r="BM47" i="3"/>
  <c r="BL47" i="3"/>
  <c r="BI47" i="3"/>
  <c r="AZ42" i="3"/>
  <c r="AY42" i="3"/>
  <c r="AV42" i="3"/>
  <c r="AM45" i="3"/>
  <c r="AI45" i="3"/>
  <c r="AL45" i="3"/>
  <c r="M32" i="3"/>
  <c r="M86" i="3" s="1"/>
  <c r="I32" i="3"/>
  <c r="L32" i="3"/>
  <c r="L86" i="3" s="1"/>
  <c r="M46" i="3"/>
  <c r="M98" i="3" s="1"/>
  <c r="I46" i="3"/>
  <c r="DM45" i="3"/>
  <c r="DL45" i="3"/>
  <c r="DI45" i="3"/>
  <c r="EM32" i="3"/>
  <c r="EL32" i="3"/>
  <c r="EZ32" i="3"/>
  <c r="EY32" i="3"/>
  <c r="BW51" i="3"/>
  <c r="BJ28" i="3"/>
  <c r="W28" i="3"/>
  <c r="BZ32" i="3"/>
  <c r="BV32" i="3"/>
  <c r="BY32" i="3"/>
  <c r="BZ46" i="3"/>
  <c r="BV46" i="3"/>
  <c r="BY46" i="3"/>
  <c r="AZ46" i="3"/>
  <c r="AV46" i="3"/>
  <c r="AY46" i="3"/>
  <c r="CZ8" i="3"/>
  <c r="CV8" i="3"/>
  <c r="CY8" i="3"/>
  <c r="CZ26" i="3"/>
  <c r="CY26" i="3"/>
  <c r="CV26" i="3"/>
  <c r="CZ45" i="3"/>
  <c r="CY45" i="3"/>
  <c r="CV45" i="3"/>
  <c r="DZ14" i="3"/>
  <c r="DY14" i="3"/>
  <c r="EM16" i="3"/>
  <c r="EL16" i="3"/>
  <c r="EZ16" i="3"/>
  <c r="EY16" i="3"/>
  <c r="DM12" i="3"/>
  <c r="DI12" i="3"/>
  <c r="DL12" i="3"/>
  <c r="Z45" i="3"/>
  <c r="V45" i="3"/>
  <c r="Y45" i="3"/>
  <c r="CM45" i="3"/>
  <c r="CL45" i="3"/>
  <c r="CI45" i="3"/>
  <c r="CZ46" i="3"/>
  <c r="CY46" i="3"/>
  <c r="CV46" i="3"/>
  <c r="DZ16" i="3"/>
  <c r="DY16" i="3"/>
  <c r="EM18" i="3"/>
  <c r="EL18" i="3"/>
  <c r="EZ42" i="3"/>
  <c r="EY42" i="3"/>
  <c r="DM14" i="3"/>
  <c r="DL14" i="3"/>
  <c r="DI14" i="3"/>
  <c r="J38" i="3"/>
  <c r="BJ38" i="3"/>
  <c r="Z32" i="3"/>
  <c r="V32" i="3"/>
  <c r="Y32" i="3"/>
  <c r="Z46" i="3"/>
  <c r="V46" i="3"/>
  <c r="Y46" i="3"/>
  <c r="M42" i="3"/>
  <c r="I42" i="3"/>
  <c r="CM32" i="3"/>
  <c r="CL32" i="3"/>
  <c r="CI32" i="3"/>
  <c r="CZ12" i="3"/>
  <c r="CY12" i="3"/>
  <c r="CV12" i="3"/>
  <c r="CZ47" i="3"/>
  <c r="CY47" i="3"/>
  <c r="CV47" i="3"/>
  <c r="DZ18" i="3"/>
  <c r="DY18" i="3"/>
  <c r="EM20" i="3"/>
  <c r="EL20" i="3"/>
  <c r="EZ20" i="3"/>
  <c r="EY20" i="3"/>
  <c r="EJ38" i="3"/>
  <c r="Z33" i="3"/>
  <c r="V33" i="3"/>
  <c r="Y33" i="3"/>
  <c r="Z47" i="3"/>
  <c r="Y47" i="3"/>
  <c r="V47" i="3"/>
  <c r="DZ8" i="3"/>
  <c r="DY8" i="3"/>
  <c r="EM10" i="3"/>
  <c r="EL10" i="3"/>
  <c r="EZ10" i="3"/>
  <c r="EY10" i="3"/>
  <c r="EZ46" i="3"/>
  <c r="EY46" i="3"/>
  <c r="DM20" i="3"/>
  <c r="DI20" i="3"/>
  <c r="DL20" i="3"/>
  <c r="DZ10" i="3"/>
  <c r="DY10" i="3"/>
  <c r="EM12" i="3"/>
  <c r="EL12" i="3"/>
  <c r="EZ12" i="3"/>
  <c r="EY12" i="3"/>
  <c r="EZ47" i="3"/>
  <c r="EY47" i="3"/>
  <c r="DM24" i="3"/>
  <c r="DL24" i="3"/>
  <c r="DI24" i="3"/>
  <c r="EW51" i="3"/>
  <c r="AW51" i="3"/>
  <c r="AJ28" i="3"/>
  <c r="W38" i="3"/>
  <c r="AJ38" i="3"/>
  <c r="AW38" i="3"/>
  <c r="BW38" i="3"/>
  <c r="DJ38" i="3"/>
  <c r="DW38" i="3"/>
  <c r="AM32" i="3"/>
  <c r="AI32" i="3"/>
  <c r="AM46" i="3"/>
  <c r="AI46" i="3"/>
  <c r="AL46" i="3"/>
  <c r="M33" i="3"/>
  <c r="M87" i="3" s="1"/>
  <c r="I33" i="3"/>
  <c r="L33" i="3"/>
  <c r="L87" i="3" s="1"/>
  <c r="CZ18" i="3"/>
  <c r="CV18" i="3"/>
  <c r="CY18" i="3"/>
  <c r="CZ42" i="3"/>
  <c r="CY42" i="3"/>
  <c r="CV42" i="3"/>
  <c r="DM32" i="3"/>
  <c r="DI32" i="3"/>
  <c r="DM46" i="3"/>
  <c r="DL46" i="3"/>
  <c r="DI46" i="3"/>
  <c r="DZ12" i="3"/>
  <c r="DY12" i="3"/>
  <c r="EM33" i="3"/>
  <c r="EL33" i="3"/>
  <c r="EM47" i="3"/>
  <c r="EL47" i="3"/>
  <c r="EZ33" i="3"/>
  <c r="EY33" i="3"/>
  <c r="DM8" i="3"/>
  <c r="DI8" i="3"/>
  <c r="DL8" i="3"/>
  <c r="DM26" i="3"/>
  <c r="DL26" i="3"/>
  <c r="DI26" i="3"/>
  <c r="CZ10" i="3"/>
  <c r="CV10" i="3"/>
  <c r="CY10" i="3"/>
  <c r="CM46" i="3"/>
  <c r="CL46" i="3"/>
  <c r="CI46" i="3"/>
  <c r="AM42" i="3"/>
  <c r="AL42" i="3"/>
  <c r="AI42" i="3"/>
  <c r="CM47" i="3"/>
  <c r="CL47" i="3"/>
  <c r="CI47" i="3"/>
  <c r="EM24" i="3"/>
  <c r="EL24" i="3"/>
  <c r="EZ24" i="3"/>
  <c r="EY24" i="3"/>
  <c r="BM32" i="3"/>
  <c r="BI32" i="3"/>
  <c r="BL32" i="3"/>
  <c r="CZ14" i="3"/>
  <c r="CV14" i="3"/>
  <c r="CY14" i="3"/>
  <c r="DZ24" i="3"/>
  <c r="DY24" i="3"/>
  <c r="EM45" i="3"/>
  <c r="EL45" i="3"/>
  <c r="CZ16" i="3"/>
  <c r="CV16" i="3"/>
  <c r="CY16" i="3"/>
  <c r="DZ26" i="3"/>
  <c r="DY26" i="3"/>
  <c r="EM46" i="3"/>
  <c r="EL46" i="3"/>
  <c r="BZ36" i="3"/>
  <c r="BY36" i="3"/>
  <c r="CW28" i="3"/>
  <c r="BZ45" i="3"/>
  <c r="BY45" i="3"/>
  <c r="BV45" i="3"/>
  <c r="AZ45" i="3"/>
  <c r="AV45" i="3"/>
  <c r="AY45" i="3"/>
  <c r="AM33" i="3"/>
  <c r="AI33" i="3"/>
  <c r="AM47" i="3"/>
  <c r="AL47" i="3"/>
  <c r="AI47" i="3"/>
  <c r="Z42" i="3"/>
  <c r="V42" i="3"/>
  <c r="Y42" i="3"/>
  <c r="CM42" i="3"/>
  <c r="CL42" i="3"/>
  <c r="CI42" i="3"/>
  <c r="CZ20" i="3"/>
  <c r="CV20" i="3"/>
  <c r="CY20" i="3"/>
  <c r="DM33" i="3"/>
  <c r="DI33" i="3"/>
  <c r="DM47" i="3"/>
  <c r="DL47" i="3"/>
  <c r="DI47" i="3"/>
  <c r="EM14" i="3"/>
  <c r="EL14" i="3"/>
  <c r="EZ14" i="3"/>
  <c r="EY14" i="3"/>
  <c r="DM10" i="3"/>
  <c r="DL10" i="3"/>
  <c r="DI10" i="3"/>
  <c r="M47" i="3"/>
  <c r="M99" i="3" s="1"/>
  <c r="DI44" i="3"/>
  <c r="AM44" i="3"/>
  <c r="Z31" i="3"/>
  <c r="K51" i="3"/>
  <c r="L42" i="3"/>
  <c r="L94" i="3" s="1"/>
  <c r="DI31" i="3"/>
  <c r="CV44" i="3"/>
  <c r="J62" i="9"/>
  <c r="CV31" i="3"/>
  <c r="L47" i="3"/>
  <c r="L99" i="3" s="1"/>
  <c r="EL44" i="3"/>
  <c r="K38" i="3"/>
  <c r="AI12" i="3"/>
  <c r="AI44" i="3"/>
  <c r="AL32" i="3"/>
  <c r="AY44" i="3"/>
  <c r="AZ44" i="3"/>
  <c r="EZ44" i="3"/>
  <c r="AY35" i="3"/>
  <c r="AY34" i="3"/>
  <c r="DL33" i="3"/>
  <c r="DY42" i="3"/>
  <c r="AV35" i="3"/>
  <c r="CY44" i="3"/>
  <c r="AI8" i="3"/>
  <c r="DL32" i="3"/>
  <c r="AR90" i="3"/>
  <c r="BE90" i="3" s="1"/>
  <c r="BI90" i="3" s="1"/>
  <c r="CV6" i="3"/>
  <c r="CX38" i="3"/>
  <c r="AY6" i="3"/>
  <c r="DZ32" i="3"/>
  <c r="V31" i="3"/>
  <c r="L6" i="3"/>
  <c r="M6" i="3"/>
  <c r="BZ31" i="3"/>
  <c r="H62" i="3"/>
  <c r="L62" i="3" s="1"/>
  <c r="DY44" i="3"/>
  <c r="BL6" i="3"/>
  <c r="BV6" i="3"/>
  <c r="BK51" i="3"/>
  <c r="EU28" i="3"/>
  <c r="EY28" i="3" s="1"/>
  <c r="AX28" i="3"/>
  <c r="J99" i="3"/>
  <c r="AV6" i="3"/>
  <c r="DM31" i="3"/>
  <c r="EY6" i="3"/>
  <c r="EX51" i="3"/>
  <c r="DH28" i="3"/>
  <c r="DM28" i="3" s="1"/>
  <c r="J98" i="3"/>
  <c r="X60" i="3"/>
  <c r="U62" i="3"/>
  <c r="Y62" i="3" s="1"/>
  <c r="AI6" i="3"/>
  <c r="L44" i="3"/>
  <c r="L96" i="3" s="1"/>
  <c r="AU28" i="3"/>
  <c r="AY28" i="3" s="1"/>
  <c r="X85" i="3"/>
  <c r="M44" i="3"/>
  <c r="M96" i="3" s="1"/>
  <c r="K68" i="3"/>
  <c r="AM34" i="3"/>
  <c r="BY31" i="3"/>
  <c r="K60" i="3"/>
  <c r="AI10" i="3"/>
  <c r="AL33" i="3"/>
  <c r="D101" i="3"/>
  <c r="G82" i="3"/>
  <c r="BK28" i="3"/>
  <c r="H94" i="3"/>
  <c r="I94" i="3" s="1"/>
  <c r="EL31" i="3"/>
  <c r="CX51" i="3"/>
  <c r="X28" i="3"/>
  <c r="DL36" i="3"/>
  <c r="X51" i="3"/>
  <c r="DM44" i="3"/>
  <c r="J70" i="3"/>
  <c r="J64" i="3"/>
  <c r="K72" i="3"/>
  <c r="R86" i="3"/>
  <c r="J96" i="3"/>
  <c r="Q96" i="3"/>
  <c r="X96" i="3" s="1"/>
  <c r="K97" i="3"/>
  <c r="K101" i="3" s="1"/>
  <c r="E103" i="3"/>
  <c r="J60" i="3"/>
  <c r="T60" i="3"/>
  <c r="E101" i="3"/>
  <c r="AH28" i="3"/>
  <c r="AM28" i="3" s="1"/>
  <c r="AI16" i="3"/>
  <c r="R72" i="3"/>
  <c r="X72" i="3" s="1"/>
  <c r="H60" i="3"/>
  <c r="M60" i="3" s="1"/>
  <c r="U28" i="3"/>
  <c r="Z28" i="3" s="1"/>
  <c r="J97" i="3"/>
  <c r="T96" i="3"/>
  <c r="K62" i="3"/>
  <c r="K66" i="3"/>
  <c r="R99" i="3"/>
  <c r="X99" i="3" s="1"/>
  <c r="BI6" i="3"/>
  <c r="BZ44" i="3"/>
  <c r="J66" i="3"/>
  <c r="EK28" i="3"/>
  <c r="AK28" i="3"/>
  <c r="J74" i="3"/>
  <c r="DY35" i="3"/>
  <c r="AQ99" i="3"/>
  <c r="BD99" i="3" s="1"/>
  <c r="BQ99" i="3" s="1"/>
  <c r="CD99" i="3" s="1"/>
  <c r="AD70" i="3"/>
  <c r="AQ70" i="3" s="1"/>
  <c r="BD70" i="3" s="1"/>
  <c r="M45" i="3"/>
  <c r="H70" i="3"/>
  <c r="M70" i="3" s="1"/>
  <c r="E82" i="3"/>
  <c r="BL44" i="3"/>
  <c r="AI14" i="3"/>
  <c r="DX38" i="3"/>
  <c r="F101" i="3"/>
  <c r="G101" i="3"/>
  <c r="Y6" i="3"/>
  <c r="H80" i="3"/>
  <c r="L80" i="3" s="1"/>
  <c r="J78" i="3"/>
  <c r="R66" i="3"/>
  <c r="X66" i="3" s="1"/>
  <c r="DY6" i="3"/>
  <c r="J68" i="3"/>
  <c r="L45" i="3"/>
  <c r="H74" i="3"/>
  <c r="M74" i="3" s="1"/>
  <c r="DU28" i="3"/>
  <c r="DY28" i="3" s="1"/>
  <c r="H99" i="3"/>
  <c r="I99" i="3" s="1"/>
  <c r="U80" i="3"/>
  <c r="Y80" i="3" s="1"/>
  <c r="G103" i="3"/>
  <c r="J72" i="3"/>
  <c r="T64" i="3"/>
  <c r="W64" i="3" s="1"/>
  <c r="DL6" i="3"/>
  <c r="L46" i="3"/>
  <c r="L98" i="3" s="1"/>
  <c r="AV32" i="3"/>
  <c r="Y44" i="3"/>
  <c r="H64" i="3"/>
  <c r="I64" i="3" s="1"/>
  <c r="K70" i="3"/>
  <c r="CY6" i="3"/>
  <c r="AV31" i="3"/>
  <c r="AV33" i="3"/>
  <c r="V6" i="3"/>
  <c r="D82" i="3"/>
  <c r="I31" i="3"/>
  <c r="H96" i="3"/>
  <c r="T70" i="3"/>
  <c r="BV44" i="3"/>
  <c r="CI6" i="3"/>
  <c r="H68" i="3"/>
  <c r="I68" i="3" s="1"/>
  <c r="H85" i="3"/>
  <c r="I85" i="3" s="1"/>
  <c r="J62" i="3"/>
  <c r="K78" i="3"/>
  <c r="H98" i="3"/>
  <c r="I98" i="3" s="1"/>
  <c r="AL6" i="3"/>
  <c r="K64" i="3"/>
  <c r="DL34" i="3"/>
  <c r="AE80" i="3"/>
  <c r="AR80" i="3" s="1"/>
  <c r="H72" i="3"/>
  <c r="I72" i="3" s="1"/>
  <c r="J94" i="3"/>
  <c r="X38" i="3"/>
  <c r="F103" i="3"/>
  <c r="CU28" i="3"/>
  <c r="CY28" i="3" s="1"/>
  <c r="F82" i="3"/>
  <c r="AZ33" i="3"/>
  <c r="AI18" i="3"/>
  <c r="AL31" i="3"/>
  <c r="AH90" i="3"/>
  <c r="AM90" i="3" s="1"/>
  <c r="AI20" i="3"/>
  <c r="AI31" i="3"/>
  <c r="V44" i="3"/>
  <c r="AZ31" i="3"/>
  <c r="AZ32" i="3"/>
  <c r="CM31" i="3"/>
  <c r="BL31" i="3"/>
  <c r="BI44" i="3"/>
  <c r="CI31" i="3"/>
  <c r="EH28" i="3"/>
  <c r="EL28" i="3" s="1"/>
  <c r="DX28" i="3"/>
  <c r="EX28" i="3"/>
  <c r="DL35" i="3"/>
  <c r="DZ33" i="3"/>
  <c r="DY46" i="3"/>
  <c r="CY31" i="3"/>
  <c r="DZ31" i="3"/>
  <c r="DY47" i="3"/>
  <c r="DZ34" i="3"/>
  <c r="DZ45" i="3"/>
  <c r="CM44" i="3"/>
  <c r="CL44" i="3"/>
  <c r="CL6" i="3"/>
  <c r="BY6" i="3"/>
  <c r="S103" i="3"/>
  <c r="DK38" i="3"/>
  <c r="H78" i="3"/>
  <c r="M78" i="3" s="1"/>
  <c r="H66" i="3"/>
  <c r="M66" i="3" s="1"/>
  <c r="D103" i="3"/>
  <c r="AD85" i="3"/>
  <c r="K74" i="3"/>
  <c r="AK51" i="3"/>
  <c r="BH28" i="3"/>
  <c r="BM28" i="3" s="1"/>
  <c r="U97" i="3"/>
  <c r="AQ90" i="3"/>
  <c r="BD90" i="3" s="1"/>
  <c r="BQ90" i="3" s="1"/>
  <c r="CD90" i="3" s="1"/>
  <c r="AK90" i="3"/>
  <c r="AE96" i="3"/>
  <c r="EK51" i="3"/>
  <c r="BI31" i="3"/>
  <c r="DK28" i="3"/>
  <c r="AD60" i="3"/>
  <c r="AQ60" i="3" s="1"/>
  <c r="BD60" i="3" s="1"/>
  <c r="BQ60" i="3" s="1"/>
  <c r="CD60" i="3" s="1"/>
  <c r="CQ60" i="3" s="1"/>
  <c r="DD60" i="3" s="1"/>
  <c r="BX51" i="3"/>
  <c r="BR60" i="3"/>
  <c r="CE60" i="3" s="1"/>
  <c r="BQ86" i="3"/>
  <c r="U68" i="3"/>
  <c r="V68" i="3" s="1"/>
  <c r="AF82" i="3"/>
  <c r="K80" i="3"/>
  <c r="DK51" i="3"/>
  <c r="EX38" i="3"/>
  <c r="AY36" i="3"/>
  <c r="BF80" i="3"/>
  <c r="AS82" i="3"/>
  <c r="AS98" i="3"/>
  <c r="BQ97" i="3"/>
  <c r="CD97" i="3" s="1"/>
  <c r="DS86" i="3"/>
  <c r="CQ98" i="3"/>
  <c r="DD98" i="3" s="1"/>
  <c r="DQ98" i="3" s="1"/>
  <c r="ED98" i="3" s="1"/>
  <c r="EQ98" i="3" s="1"/>
  <c r="U98" i="3"/>
  <c r="V98" i="3" s="1"/>
  <c r="AG97" i="3"/>
  <c r="AD74" i="3"/>
  <c r="AE68" i="3"/>
  <c r="AD80" i="3"/>
  <c r="S82" i="3"/>
  <c r="T74" i="3"/>
  <c r="W74" i="3" s="1"/>
  <c r="J80" i="3"/>
  <c r="CK51" i="3"/>
  <c r="AX51" i="3"/>
  <c r="CX28" i="3"/>
  <c r="CH28" i="3"/>
  <c r="BU28" i="3"/>
  <c r="BZ28" i="3" s="1"/>
  <c r="EK38" i="3"/>
  <c r="DX51" i="3"/>
  <c r="CK28" i="3"/>
  <c r="H97" i="3"/>
  <c r="AK38" i="3"/>
  <c r="AM35" i="3"/>
  <c r="BX28" i="3"/>
  <c r="AX38" i="3"/>
  <c r="BK38" i="3"/>
  <c r="ES60" i="3"/>
  <c r="CS78" i="3"/>
  <c r="BQ94" i="3"/>
  <c r="EG117" i="2"/>
  <c r="DR60" i="2"/>
  <c r="AG78" i="3"/>
  <c r="AG62" i="3"/>
  <c r="AG99" i="3"/>
  <c r="DR17" i="2"/>
  <c r="EG21" i="2"/>
  <c r="GA62" i="2"/>
  <c r="DS62" i="2"/>
  <c r="P62" i="2"/>
  <c r="EQ62" i="2"/>
  <c r="CI62" i="2"/>
  <c r="P13" i="2"/>
  <c r="EQ70" i="2"/>
  <c r="FL70" i="2"/>
  <c r="FL66" i="2"/>
  <c r="EW66" i="2"/>
  <c r="AU102" i="2"/>
  <c r="AU101" i="2" s="1"/>
  <c r="BY60" i="2"/>
  <c r="DC56" i="2"/>
  <c r="DC54" i="2" s="1"/>
  <c r="P26" i="2"/>
  <c r="AF75" i="2"/>
  <c r="GA75" i="2"/>
  <c r="DC64" i="2"/>
  <c r="BY56" i="2"/>
  <c r="BY54" i="2" s="1"/>
  <c r="CN103" i="2"/>
  <c r="CN101" i="2" s="1"/>
  <c r="R29" i="8"/>
  <c r="R26" i="8"/>
  <c r="R25" i="8"/>
  <c r="R22" i="8"/>
  <c r="R21" i="8"/>
  <c r="FV116" i="2"/>
  <c r="AR113" i="2"/>
  <c r="EC112" i="2"/>
  <c r="AR107" i="2"/>
  <c r="K97" i="2"/>
  <c r="DN73" i="2"/>
  <c r="AA72" i="2"/>
  <c r="ED71" i="2"/>
  <c r="CJ71" i="2"/>
  <c r="K70" i="2"/>
  <c r="AA68" i="2"/>
  <c r="FG67" i="2"/>
  <c r="DP75" i="2"/>
  <c r="BH75" i="2"/>
  <c r="T75" i="2"/>
  <c r="EN75" i="2"/>
  <c r="ES75" i="2" s="1"/>
  <c r="P17" i="2"/>
  <c r="P66" i="2"/>
  <c r="O17" i="2"/>
  <c r="I66" i="2"/>
  <c r="FZ13" i="2"/>
  <c r="AQ115" i="2"/>
  <c r="EC108" i="2"/>
  <c r="K73" i="2"/>
  <c r="BU70" i="2"/>
  <c r="BU68" i="2"/>
  <c r="AR68" i="2"/>
  <c r="AQ68" i="2"/>
  <c r="AJ75" i="2"/>
  <c r="L68" i="2"/>
  <c r="K68" i="2"/>
  <c r="FH67" i="2"/>
  <c r="AR67" i="2"/>
  <c r="AQ67" i="2"/>
  <c r="BY21" i="2"/>
  <c r="P58" i="2"/>
  <c r="I58" i="2"/>
  <c r="AQ104" i="2"/>
  <c r="FV73" i="2"/>
  <c r="CY70" i="2"/>
  <c r="EC68" i="2"/>
  <c r="CJ67" i="2"/>
  <c r="FX75" i="2"/>
  <c r="DX75" i="2"/>
  <c r="Z75" i="2"/>
  <c r="M75" i="2"/>
  <c r="CO17" i="2"/>
  <c r="CN17" i="2"/>
  <c r="AE13" i="2"/>
  <c r="AE63" i="2"/>
  <c r="O63" i="2"/>
  <c r="O62" i="2" s="1"/>
  <c r="AC75" i="2"/>
  <c r="AV117" i="2" s="1"/>
  <c r="V75" i="2"/>
  <c r="Y66" i="2"/>
  <c r="AF17" i="2"/>
  <c r="BF63" i="2"/>
  <c r="ED59" i="2"/>
  <c r="CK56" i="2"/>
  <c r="CK55" i="2"/>
  <c r="AA55" i="2"/>
  <c r="O48" i="2"/>
  <c r="K38" i="2"/>
  <c r="EV26" i="2"/>
  <c r="EC21" i="2"/>
  <c r="CN18" i="2"/>
  <c r="CN111" i="2" s="1"/>
  <c r="CN110" i="2" s="1"/>
  <c r="EV14" i="2"/>
  <c r="FZ108" i="2" s="1"/>
  <c r="FZ107" i="2" s="1"/>
  <c r="FZ117" i="2" s="1"/>
  <c r="CN14" i="2"/>
  <c r="AF13" i="2"/>
  <c r="AE10" i="2"/>
  <c r="AB9" i="2"/>
  <c r="K9" i="2"/>
  <c r="O10" i="2"/>
  <c r="O59" i="2" s="1"/>
  <c r="O58" i="2" s="1"/>
  <c r="U78" i="3"/>
  <c r="Z78" i="3" s="1"/>
  <c r="K67" i="2"/>
  <c r="FG64" i="2"/>
  <c r="DN64" i="2"/>
  <c r="FG63" i="2"/>
  <c r="DN63" i="2"/>
  <c r="FG60" i="2"/>
  <c r="CY60" i="2"/>
  <c r="DR26" i="2"/>
  <c r="AB13" i="2"/>
  <c r="CY5" i="2"/>
  <c r="FV64" i="2"/>
  <c r="FV63" i="2"/>
  <c r="AQ60" i="2"/>
  <c r="O18" i="2"/>
  <c r="AE67" i="2" s="1"/>
  <c r="AE66" i="2" s="1"/>
  <c r="EQ5" i="2"/>
  <c r="EC5" i="2"/>
  <c r="BV5" i="2"/>
  <c r="K28" i="3"/>
  <c r="T85" i="3"/>
  <c r="T94" i="3"/>
  <c r="M31" i="3"/>
  <c r="M85" i="3" s="1"/>
  <c r="CK38" i="3"/>
  <c r="H28" i="3"/>
  <c r="BX38" i="3"/>
  <c r="EL6" i="3"/>
  <c r="AL36" i="3"/>
  <c r="X90" i="3"/>
  <c r="DY36" i="3"/>
  <c r="Z90" i="3"/>
  <c r="I54" i="2" l="1"/>
  <c r="O5" i="2"/>
  <c r="P5" i="2"/>
  <c r="P54" i="2"/>
  <c r="BK54" i="2"/>
  <c r="AO101" i="2"/>
  <c r="AO54" i="2"/>
  <c r="AV54" i="2"/>
  <c r="AF5" i="2"/>
  <c r="AF54" i="2"/>
  <c r="BT54" i="2"/>
  <c r="BZ54" i="2"/>
  <c r="CI54" i="2"/>
  <c r="CO54" i="2"/>
  <c r="CX54" i="2"/>
  <c r="DD54" i="2"/>
  <c r="DM54" i="2"/>
  <c r="DS54" i="2"/>
  <c r="EB54" i="2"/>
  <c r="EH54" i="2"/>
  <c r="AE5" i="2"/>
  <c r="Y54" i="2"/>
  <c r="BE54" i="2"/>
  <c r="CN5" i="2"/>
  <c r="CO5" i="2"/>
  <c r="CI101" i="2"/>
  <c r="CO101" i="2"/>
  <c r="O9" i="2"/>
  <c r="P9" i="2"/>
  <c r="BK58" i="2"/>
  <c r="AE9" i="2"/>
  <c r="AF58" i="2"/>
  <c r="BZ58" i="2"/>
  <c r="CO58" i="2"/>
  <c r="DD58" i="2"/>
  <c r="DS58" i="2"/>
  <c r="EH58" i="2"/>
  <c r="EW58" i="2"/>
  <c r="FL58" i="2"/>
  <c r="GA58" i="2"/>
  <c r="Y58" i="2"/>
  <c r="AF9" i="2"/>
  <c r="AO104" i="2"/>
  <c r="AU9" i="2"/>
  <c r="BT58" i="2"/>
  <c r="CI58" i="2"/>
  <c r="CX58" i="2"/>
  <c r="DM58" i="2"/>
  <c r="EB58" i="2"/>
  <c r="EQ58" i="2"/>
  <c r="FF58" i="2"/>
  <c r="FU58" i="2"/>
  <c r="BE58" i="2"/>
  <c r="AO58" i="2"/>
  <c r="AV104" i="2" s="1"/>
  <c r="AV58" i="2"/>
  <c r="AV9" i="2"/>
  <c r="CN9" i="2"/>
  <c r="CO9" i="2"/>
  <c r="CI104" i="2"/>
  <c r="CO104" i="2"/>
  <c r="AQ62" i="2"/>
  <c r="AR62" i="2"/>
  <c r="AF62" i="2"/>
  <c r="BZ62" i="2"/>
  <c r="CO62" i="2"/>
  <c r="DD62" i="2"/>
  <c r="EH62" i="2"/>
  <c r="EW62" i="2"/>
  <c r="FL62" i="2"/>
  <c r="Y62" i="2"/>
  <c r="AV13" i="2"/>
  <c r="AU13" i="2"/>
  <c r="BE62" i="2"/>
  <c r="AO62" i="2"/>
  <c r="AV107" i="2" s="1"/>
  <c r="AO107" i="2"/>
  <c r="AV62" i="2"/>
  <c r="BK62" i="2"/>
  <c r="BT62" i="2"/>
  <c r="CX62" i="2"/>
  <c r="DM62" i="2"/>
  <c r="EB62" i="2"/>
  <c r="FF62" i="2"/>
  <c r="FU62" i="2"/>
  <c r="CI107" i="2"/>
  <c r="CO107" i="2"/>
  <c r="CN13" i="2"/>
  <c r="FU107" i="2"/>
  <c r="GA107" i="2"/>
  <c r="AF66" i="2"/>
  <c r="AE17" i="2"/>
  <c r="AO66" i="2"/>
  <c r="AV110" i="2" s="1"/>
  <c r="AV66" i="2"/>
  <c r="AO110" i="2"/>
  <c r="BZ66" i="2"/>
  <c r="CI66" i="2"/>
  <c r="EQ66" i="2"/>
  <c r="CO66" i="2"/>
  <c r="EB66" i="2"/>
  <c r="FF66" i="2"/>
  <c r="DD66" i="2"/>
  <c r="BE66" i="2"/>
  <c r="DM66" i="2"/>
  <c r="DS66" i="2"/>
  <c r="GA66" i="2"/>
  <c r="BT66" i="2"/>
  <c r="CX66" i="2"/>
  <c r="EH66" i="2"/>
  <c r="FU66" i="2"/>
  <c r="CO110" i="2"/>
  <c r="CI110" i="2"/>
  <c r="EH17" i="2"/>
  <c r="EH110" i="2"/>
  <c r="EB110" i="2"/>
  <c r="EG17" i="2"/>
  <c r="EW17" i="2"/>
  <c r="EV17" i="2"/>
  <c r="FK17" i="2"/>
  <c r="FL17" i="2"/>
  <c r="GA110" i="2"/>
  <c r="FU110" i="2"/>
  <c r="AU115" i="2"/>
  <c r="AU113" i="2" s="1"/>
  <c r="AU70" i="2"/>
  <c r="BZ21" i="2"/>
  <c r="BT70" i="2"/>
  <c r="DM70" i="2"/>
  <c r="CI70" i="2"/>
  <c r="CO70" i="2"/>
  <c r="DS70" i="2"/>
  <c r="DD70" i="2"/>
  <c r="BZ70" i="2"/>
  <c r="CI113" i="2"/>
  <c r="CO113" i="2"/>
  <c r="CX70" i="2"/>
  <c r="EB70" i="2"/>
  <c r="EH70" i="2"/>
  <c r="EW70" i="2"/>
  <c r="FF70" i="2"/>
  <c r="FU70" i="2"/>
  <c r="GA70" i="2"/>
  <c r="DD21" i="2"/>
  <c r="DC21" i="2"/>
  <c r="EB113" i="2"/>
  <c r="EH113" i="2"/>
  <c r="FH75" i="2"/>
  <c r="FG75" i="2"/>
  <c r="O79" i="2"/>
  <c r="I87" i="2"/>
  <c r="EC117" i="2"/>
  <c r="ED117" i="2"/>
  <c r="AK94" i="3"/>
  <c r="AR38" i="9"/>
  <c r="AM62" i="9"/>
  <c r="BK76" i="3"/>
  <c r="X89" i="3"/>
  <c r="S91" i="3"/>
  <c r="I88" i="3"/>
  <c r="H91" i="3"/>
  <c r="I91" i="3" s="1"/>
  <c r="U88" i="3"/>
  <c r="Y88" i="3" s="1"/>
  <c r="L91" i="3"/>
  <c r="Q91" i="3"/>
  <c r="X88" i="3"/>
  <c r="M91" i="3"/>
  <c r="AQ88" i="3"/>
  <c r="AD91" i="3"/>
  <c r="EV28" i="3"/>
  <c r="EZ38" i="3"/>
  <c r="EV38" i="3"/>
  <c r="EY49" i="3"/>
  <c r="EV49" i="3"/>
  <c r="EM51" i="3"/>
  <c r="EI51" i="3"/>
  <c r="EM49" i="3"/>
  <c r="EI49" i="3"/>
  <c r="EL38" i="3"/>
  <c r="EI38" i="3"/>
  <c r="EI28" i="3"/>
  <c r="DV51" i="3"/>
  <c r="AK68" i="3"/>
  <c r="DV38" i="3"/>
  <c r="DV28" i="3"/>
  <c r="DY49" i="3"/>
  <c r="DV49" i="3"/>
  <c r="AV76" i="3"/>
  <c r="U89" i="3"/>
  <c r="V89" i="3" s="1"/>
  <c r="AJ78" i="3"/>
  <c r="AK64" i="3"/>
  <c r="AW98" i="3"/>
  <c r="AJ62" i="3"/>
  <c r="AJ97" i="3"/>
  <c r="EL49" i="3"/>
  <c r="AX78" i="3"/>
  <c r="CY49" i="3"/>
  <c r="AY76" i="3"/>
  <c r="AK97" i="3"/>
  <c r="X87" i="3"/>
  <c r="AX97" i="3"/>
  <c r="AY49" i="3"/>
  <c r="V97" i="3"/>
  <c r="AK98" i="3"/>
  <c r="U87" i="3"/>
  <c r="V87" i="3" s="1"/>
  <c r="BY49" i="3"/>
  <c r="Z62" i="3"/>
  <c r="DZ49" i="3"/>
  <c r="BZ49" i="3"/>
  <c r="W72" i="3"/>
  <c r="AR85" i="3"/>
  <c r="BH76" i="3"/>
  <c r="BL76" i="3" s="1"/>
  <c r="BR76" i="3"/>
  <c r="BJ76" i="3"/>
  <c r="AG87" i="3"/>
  <c r="AH87" i="3" s="1"/>
  <c r="AL87" i="3" s="1"/>
  <c r="W87" i="3"/>
  <c r="AQ85" i="3"/>
  <c r="U66" i="3"/>
  <c r="Z66" i="3" s="1"/>
  <c r="AT68" i="3"/>
  <c r="AJ68" i="3"/>
  <c r="BD78" i="3"/>
  <c r="BQ78" i="3" s="1"/>
  <c r="BS94" i="3"/>
  <c r="AG70" i="3"/>
  <c r="W70" i="3"/>
  <c r="AE99" i="3"/>
  <c r="AR99" i="3" s="1"/>
  <c r="BE99" i="3" s="1"/>
  <c r="BK99" i="3" s="1"/>
  <c r="X86" i="3"/>
  <c r="DL49" i="3"/>
  <c r="BR98" i="3"/>
  <c r="Y78" i="3"/>
  <c r="AG89" i="3"/>
  <c r="W89" i="3"/>
  <c r="T103" i="3"/>
  <c r="W94" i="3"/>
  <c r="BK62" i="3"/>
  <c r="AX98" i="3"/>
  <c r="J91" i="3"/>
  <c r="I96" i="3"/>
  <c r="H101" i="3"/>
  <c r="I101" i="3" s="1"/>
  <c r="R91" i="3"/>
  <c r="BR78" i="3"/>
  <c r="Y68" i="3"/>
  <c r="AT72" i="3"/>
  <c r="BR70" i="3"/>
  <c r="AG96" i="3"/>
  <c r="AH96" i="3" s="1"/>
  <c r="W96" i="3"/>
  <c r="T101" i="3"/>
  <c r="Z49" i="3"/>
  <c r="AE88" i="3"/>
  <c r="BG90" i="3"/>
  <c r="BH90" i="3" s="1"/>
  <c r="BM90" i="3" s="1"/>
  <c r="AW90" i="3"/>
  <c r="Z68" i="3"/>
  <c r="R101" i="3"/>
  <c r="AT66" i="3"/>
  <c r="AG60" i="3"/>
  <c r="AH60" i="3" s="1"/>
  <c r="AL60" i="3" s="1"/>
  <c r="W60" i="3"/>
  <c r="AE72" i="3"/>
  <c r="AK72" i="3" s="1"/>
  <c r="Y49" i="3"/>
  <c r="BR97" i="3"/>
  <c r="BX97" i="3" s="1"/>
  <c r="AG86" i="3"/>
  <c r="W86" i="3"/>
  <c r="AG88" i="3"/>
  <c r="W88" i="3"/>
  <c r="W85" i="3"/>
  <c r="T91" i="3"/>
  <c r="ET76" i="3"/>
  <c r="BE94" i="3"/>
  <c r="Z80" i="3"/>
  <c r="AS96" i="3"/>
  <c r="AS103" i="3" s="1"/>
  <c r="AF101" i="3"/>
  <c r="AT80" i="3"/>
  <c r="AU80" i="3" s="1"/>
  <c r="AV80" i="3" s="1"/>
  <c r="AJ80" i="3"/>
  <c r="W99" i="3"/>
  <c r="W66" i="3"/>
  <c r="CD62" i="3"/>
  <c r="CQ62" i="3" s="1"/>
  <c r="AK78" i="3"/>
  <c r="AH98" i="3"/>
  <c r="AL98" i="3" s="1"/>
  <c r="AK62" i="3"/>
  <c r="AR96" i="3"/>
  <c r="AD96" i="3"/>
  <c r="AD103" i="3" s="1"/>
  <c r="Q101" i="3"/>
  <c r="AX62" i="3"/>
  <c r="DM49" i="3"/>
  <c r="AJ98" i="3"/>
  <c r="BR62" i="3"/>
  <c r="AS85" i="3"/>
  <c r="AF91" i="3"/>
  <c r="BL49" i="3"/>
  <c r="BM49" i="3"/>
  <c r="EZ49" i="3"/>
  <c r="CM49" i="3"/>
  <c r="AM49" i="3"/>
  <c r="CL49" i="3"/>
  <c r="AZ49" i="3"/>
  <c r="CZ49" i="3"/>
  <c r="AL49" i="3"/>
  <c r="V62" i="3"/>
  <c r="AI51" i="3"/>
  <c r="M51" i="3"/>
  <c r="Q82" i="3"/>
  <c r="M38" i="3"/>
  <c r="DI51" i="3"/>
  <c r="DI38" i="3"/>
  <c r="DI28" i="3"/>
  <c r="CV51" i="3"/>
  <c r="O62" i="9"/>
  <c r="BR90" i="3"/>
  <c r="BV90" i="3" s="1"/>
  <c r="L72" i="3"/>
  <c r="CV38" i="3"/>
  <c r="AU90" i="3"/>
  <c r="AY90" i="3" s="1"/>
  <c r="AZ51" i="3"/>
  <c r="U99" i="3"/>
  <c r="Y99" i="3" s="1"/>
  <c r="AV90" i="3"/>
  <c r="AY51" i="3"/>
  <c r="L38" i="3"/>
  <c r="L60" i="3"/>
  <c r="I60" i="3"/>
  <c r="AM38" i="3"/>
  <c r="CM38" i="3"/>
  <c r="M62" i="3"/>
  <c r="EM38" i="3"/>
  <c r="I62" i="3"/>
  <c r="M94" i="3"/>
  <c r="CZ28" i="3"/>
  <c r="CV28" i="3"/>
  <c r="I80" i="3"/>
  <c r="J82" i="3"/>
  <c r="M80" i="3"/>
  <c r="AV28" i="3"/>
  <c r="AL90" i="3"/>
  <c r="AZ28" i="3"/>
  <c r="AH80" i="3"/>
  <c r="AI80" i="3" s="1"/>
  <c r="EZ28" i="3"/>
  <c r="K82" i="3"/>
  <c r="J103" i="3"/>
  <c r="Y28" i="3"/>
  <c r="BF98" i="3"/>
  <c r="BS98" i="3" s="1"/>
  <c r="CZ38" i="3"/>
  <c r="BZ51" i="3"/>
  <c r="DL28" i="3"/>
  <c r="BV51" i="3"/>
  <c r="AE86" i="3"/>
  <c r="AR86" i="3" s="1"/>
  <c r="BE86" i="3" s="1"/>
  <c r="H103" i="3"/>
  <c r="M103" i="3" s="1"/>
  <c r="AI38" i="3"/>
  <c r="U96" i="3"/>
  <c r="V51" i="3"/>
  <c r="H82" i="3"/>
  <c r="I82" i="3" s="1"/>
  <c r="Z51" i="3"/>
  <c r="BE80" i="3"/>
  <c r="BE89" i="3"/>
  <c r="AL28" i="3"/>
  <c r="CZ51" i="3"/>
  <c r="M72" i="3"/>
  <c r="I51" i="3"/>
  <c r="U60" i="3"/>
  <c r="U86" i="3"/>
  <c r="Y86" i="3" s="1"/>
  <c r="BK90" i="3"/>
  <c r="AK89" i="3"/>
  <c r="M64" i="3"/>
  <c r="Q103" i="3"/>
  <c r="V28" i="3"/>
  <c r="AK85" i="3"/>
  <c r="BI51" i="3"/>
  <c r="L68" i="3"/>
  <c r="R82" i="3"/>
  <c r="AL51" i="3"/>
  <c r="AI28" i="3"/>
  <c r="Z38" i="3"/>
  <c r="Y38" i="3"/>
  <c r="BL51" i="3"/>
  <c r="V80" i="3"/>
  <c r="U72" i="3"/>
  <c r="Z72" i="3" s="1"/>
  <c r="K103" i="3"/>
  <c r="R103" i="3"/>
  <c r="CK60" i="3"/>
  <c r="U64" i="3"/>
  <c r="DZ28" i="3"/>
  <c r="J101" i="3"/>
  <c r="AK70" i="3"/>
  <c r="L66" i="3"/>
  <c r="AX60" i="3"/>
  <c r="AG64" i="3"/>
  <c r="AK60" i="3"/>
  <c r="AX89" i="3"/>
  <c r="U70" i="3"/>
  <c r="M68" i="3"/>
  <c r="EM28" i="3"/>
  <c r="EL51" i="3"/>
  <c r="EY38" i="3"/>
  <c r="I70" i="3"/>
  <c r="L64" i="3"/>
  <c r="DM38" i="3"/>
  <c r="AX70" i="3"/>
  <c r="L74" i="3"/>
  <c r="L70" i="3"/>
  <c r="I74" i="3"/>
  <c r="I66" i="3"/>
  <c r="AE66" i="3"/>
  <c r="AR66" i="3" s="1"/>
  <c r="AX66" i="3" s="1"/>
  <c r="DZ38" i="3"/>
  <c r="DZ51" i="3"/>
  <c r="DL51" i="3"/>
  <c r="CL38" i="3"/>
  <c r="CM28" i="3"/>
  <c r="CI28" i="3"/>
  <c r="Z97" i="3"/>
  <c r="CR60" i="3"/>
  <c r="AX90" i="3"/>
  <c r="Y97" i="3"/>
  <c r="BK60" i="3"/>
  <c r="BI28" i="3"/>
  <c r="BL28" i="3"/>
  <c r="L78" i="3"/>
  <c r="I78" i="3"/>
  <c r="BV28" i="3"/>
  <c r="BX60" i="3"/>
  <c r="AX64" i="3"/>
  <c r="BD64" i="3"/>
  <c r="BY28" i="3"/>
  <c r="CL28" i="3"/>
  <c r="CD86" i="3"/>
  <c r="AZ38" i="3"/>
  <c r="AV38" i="3"/>
  <c r="AY38" i="3"/>
  <c r="CL51" i="3"/>
  <c r="CM51" i="3"/>
  <c r="EZ51" i="3"/>
  <c r="EY51" i="3"/>
  <c r="AK80" i="3"/>
  <c r="AQ80" i="3"/>
  <c r="AR68" i="3"/>
  <c r="AX68" i="3" s="1"/>
  <c r="AH68" i="3"/>
  <c r="AM68" i="3" s="1"/>
  <c r="AH97" i="3"/>
  <c r="AT97" i="3"/>
  <c r="AW97" i="3" s="1"/>
  <c r="EF86" i="3"/>
  <c r="CQ97" i="3"/>
  <c r="CQ99" i="3"/>
  <c r="BS80" i="3"/>
  <c r="BF82" i="3"/>
  <c r="BL38" i="3"/>
  <c r="BI38" i="3"/>
  <c r="BM38" i="3"/>
  <c r="Y98" i="3"/>
  <c r="Z98" i="3"/>
  <c r="BQ70" i="3"/>
  <c r="BK70" i="3"/>
  <c r="AG74" i="3"/>
  <c r="AJ74" i="3" s="1"/>
  <c r="U74" i="3"/>
  <c r="T82" i="3"/>
  <c r="CE64" i="3"/>
  <c r="DQ60" i="3"/>
  <c r="CF88" i="3"/>
  <c r="L97" i="3"/>
  <c r="M97" i="3"/>
  <c r="M101" i="3" s="1"/>
  <c r="I97" i="3"/>
  <c r="AQ74" i="3"/>
  <c r="AK74" i="3"/>
  <c r="BG98" i="3"/>
  <c r="BJ98" i="3" s="1"/>
  <c r="AU98" i="3"/>
  <c r="U94" i="3"/>
  <c r="AG94" i="3"/>
  <c r="EV5" i="2"/>
  <c r="EW5" i="2"/>
  <c r="FL54" i="2"/>
  <c r="EQ54" i="2"/>
  <c r="FU54" i="2"/>
  <c r="EW54" i="2"/>
  <c r="GA54" i="2"/>
  <c r="GA101" i="2"/>
  <c r="FF54" i="2"/>
  <c r="FU101" i="2"/>
  <c r="V78" i="3"/>
  <c r="AE59" i="2"/>
  <c r="AE58" i="2" s="1"/>
  <c r="EG59" i="2"/>
  <c r="EG58" i="2" s="1"/>
  <c r="DR59" i="2"/>
  <c r="DR58" i="2" s="1"/>
  <c r="FZ59" i="2"/>
  <c r="FZ58" i="2" s="1"/>
  <c r="AU59" i="2"/>
  <c r="CN59" i="2"/>
  <c r="CN58" i="2" s="1"/>
  <c r="BJ59" i="2"/>
  <c r="BJ58" i="2" s="1"/>
  <c r="DC59" i="2"/>
  <c r="DC58" i="2" s="1"/>
  <c r="EV59" i="2"/>
  <c r="EV58" i="2" s="1"/>
  <c r="BY59" i="2"/>
  <c r="BY58" i="2" s="1"/>
  <c r="FK59" i="2"/>
  <c r="FK58" i="2" s="1"/>
  <c r="AE62" i="2"/>
  <c r="AU108" i="2"/>
  <c r="AU107" i="2" s="1"/>
  <c r="AT99" i="3"/>
  <c r="AT62" i="3"/>
  <c r="AW62" i="3" s="1"/>
  <c r="AH62" i="3"/>
  <c r="CE74" i="3"/>
  <c r="DF78" i="3"/>
  <c r="I28" i="3"/>
  <c r="M28" i="3"/>
  <c r="L28" i="3"/>
  <c r="AG85" i="3"/>
  <c r="U85" i="3"/>
  <c r="O67" i="2"/>
  <c r="O66" i="2" s="1"/>
  <c r="O75" i="2" s="1"/>
  <c r="EV67" i="2"/>
  <c r="EV66" i="2" s="1"/>
  <c r="CN67" i="2"/>
  <c r="CN66" i="2" s="1"/>
  <c r="FK67" i="2"/>
  <c r="FK66" i="2" s="1"/>
  <c r="DC67" i="2"/>
  <c r="DC66" i="2" s="1"/>
  <c r="AU67" i="2"/>
  <c r="FZ67" i="2"/>
  <c r="FZ66" i="2" s="1"/>
  <c r="DR67" i="2"/>
  <c r="DR66" i="2" s="1"/>
  <c r="BJ67" i="2"/>
  <c r="BJ66" i="2" s="1"/>
  <c r="EG67" i="2"/>
  <c r="EG66" i="2" s="1"/>
  <c r="BY67" i="2"/>
  <c r="BY66" i="2" s="1"/>
  <c r="BY75" i="2" s="1"/>
  <c r="AQ75" i="2"/>
  <c r="AR75" i="2"/>
  <c r="CQ90" i="3"/>
  <c r="CN108" i="2"/>
  <c r="CN107" i="2" s="1"/>
  <c r="CN117" i="2" s="1"/>
  <c r="DC63" i="2"/>
  <c r="DC62" i="2" s="1"/>
  <c r="FZ63" i="2"/>
  <c r="FZ62" i="2" s="1"/>
  <c r="EV63" i="2"/>
  <c r="EV62" i="2" s="1"/>
  <c r="CN63" i="2"/>
  <c r="CN62" i="2" s="1"/>
  <c r="DR63" i="2"/>
  <c r="DR62" i="2" s="1"/>
  <c r="FK63" i="2"/>
  <c r="FK62" i="2" s="1"/>
  <c r="EG63" i="2"/>
  <c r="EG62" i="2" s="1"/>
  <c r="ED75" i="2"/>
  <c r="EC75" i="2"/>
  <c r="BD68" i="3"/>
  <c r="AT78" i="3"/>
  <c r="AW78" i="3" s="1"/>
  <c r="AH78" i="3"/>
  <c r="ER75" i="2"/>
  <c r="BY38" i="3"/>
  <c r="BZ38" i="3"/>
  <c r="AB75" i="2"/>
  <c r="AA75" i="2"/>
  <c r="AR87" i="3"/>
  <c r="AK87" i="3"/>
  <c r="CD94" i="3"/>
  <c r="DC75" i="2" l="1"/>
  <c r="O87" i="2"/>
  <c r="P87" i="2"/>
  <c r="AV101" i="2"/>
  <c r="X101" i="3"/>
  <c r="BX76" i="3"/>
  <c r="BI76" i="3"/>
  <c r="BM76" i="3"/>
  <c r="AW38" i="9"/>
  <c r="AR62" i="9"/>
  <c r="X91" i="3"/>
  <c r="AE91" i="3"/>
  <c r="AG91" i="3"/>
  <c r="Y89" i="3"/>
  <c r="Z89" i="3"/>
  <c r="Z88" i="3"/>
  <c r="V88" i="3"/>
  <c r="AQ91" i="3"/>
  <c r="BD88" i="3"/>
  <c r="BK78" i="3"/>
  <c r="AK96" i="3"/>
  <c r="AX99" i="3"/>
  <c r="Y87" i="3"/>
  <c r="U91" i="3"/>
  <c r="V91" i="3" s="1"/>
  <c r="Z87" i="3"/>
  <c r="W91" i="3"/>
  <c r="AH99" i="3"/>
  <c r="AL99" i="3" s="1"/>
  <c r="AW99" i="3"/>
  <c r="AI98" i="3"/>
  <c r="AH72" i="3"/>
  <c r="AI72" i="3" s="1"/>
  <c r="AK99" i="3"/>
  <c r="AE101" i="3"/>
  <c r="AE103" i="3"/>
  <c r="AK103" i="3" s="1"/>
  <c r="AR101" i="3"/>
  <c r="AJ99" i="3"/>
  <c r="AT86" i="3"/>
  <c r="AU86" i="3" s="1"/>
  <c r="AJ86" i="3"/>
  <c r="CE62" i="3"/>
  <c r="BG80" i="3"/>
  <c r="BH80" i="3" s="1"/>
  <c r="BI80" i="3" s="1"/>
  <c r="AW80" i="3"/>
  <c r="Z64" i="3"/>
  <c r="Y64" i="3"/>
  <c r="BE85" i="3"/>
  <c r="AQ96" i="3"/>
  <c r="AD101" i="3"/>
  <c r="BR94" i="3"/>
  <c r="BK94" i="3"/>
  <c r="AT89" i="3"/>
  <c r="AJ89" i="3"/>
  <c r="V99" i="3"/>
  <c r="AW68" i="3"/>
  <c r="BG68" i="3"/>
  <c r="BU76" i="3"/>
  <c r="CE76" i="3"/>
  <c r="BW76" i="3"/>
  <c r="Y74" i="3"/>
  <c r="Z74" i="3"/>
  <c r="Y70" i="3"/>
  <c r="Z70" i="3"/>
  <c r="AR72" i="3"/>
  <c r="BE72" i="3" s="1"/>
  <c r="BK72" i="3" s="1"/>
  <c r="BK89" i="3"/>
  <c r="U101" i="3"/>
  <c r="V101" i="3" s="1"/>
  <c r="V96" i="3"/>
  <c r="BF85" i="3"/>
  <c r="AS91" i="3"/>
  <c r="AT96" i="3"/>
  <c r="AU96" i="3" s="1"/>
  <c r="AJ96" i="3"/>
  <c r="AG101" i="3"/>
  <c r="BR99" i="3"/>
  <c r="Y66" i="3"/>
  <c r="AM96" i="3"/>
  <c r="BR80" i="3"/>
  <c r="CE80" i="3" s="1"/>
  <c r="BJ90" i="3"/>
  <c r="BT90" i="3"/>
  <c r="AZ90" i="3"/>
  <c r="CE98" i="3"/>
  <c r="BX98" i="3"/>
  <c r="BF96" i="3"/>
  <c r="AS101" i="3"/>
  <c r="AR88" i="3"/>
  <c r="AR91" i="3" s="1"/>
  <c r="AH88" i="3"/>
  <c r="AK88" i="3"/>
  <c r="CE70" i="3"/>
  <c r="AT60" i="3"/>
  <c r="AJ60" i="3"/>
  <c r="AT70" i="3"/>
  <c r="AJ70" i="3"/>
  <c r="AH70" i="3"/>
  <c r="AM70" i="3" s="1"/>
  <c r="AJ85" i="3"/>
  <c r="CE97" i="3"/>
  <c r="BD85" i="3"/>
  <c r="AD82" i="3"/>
  <c r="AM98" i="3"/>
  <c r="BE96" i="3"/>
  <c r="AT64" i="3"/>
  <c r="AW64" i="3" s="1"/>
  <c r="AJ64" i="3"/>
  <c r="AJ66" i="3"/>
  <c r="CF94" i="3"/>
  <c r="AJ94" i="3"/>
  <c r="AG103" i="3"/>
  <c r="V66" i="3"/>
  <c r="W82" i="3"/>
  <c r="Y60" i="3"/>
  <c r="U82" i="3"/>
  <c r="V82" i="3" s="1"/>
  <c r="AT88" i="3"/>
  <c r="AJ88" i="3"/>
  <c r="BG66" i="3"/>
  <c r="AW66" i="3"/>
  <c r="AJ72" i="3"/>
  <c r="CE78" i="3"/>
  <c r="W103" i="3"/>
  <c r="V86" i="3"/>
  <c r="AT87" i="3"/>
  <c r="AU87" i="3" s="1"/>
  <c r="AY87" i="3" s="1"/>
  <c r="AJ87" i="3"/>
  <c r="U103" i="3"/>
  <c r="AX85" i="3"/>
  <c r="AH89" i="3"/>
  <c r="AM89" i="3" s="1"/>
  <c r="AR103" i="3"/>
  <c r="Y72" i="3"/>
  <c r="W101" i="3"/>
  <c r="BG72" i="3"/>
  <c r="BX62" i="3"/>
  <c r="BX90" i="3"/>
  <c r="CE90" i="3"/>
  <c r="CK90" i="3" s="1"/>
  <c r="Z96" i="3"/>
  <c r="T62" i="9"/>
  <c r="BL90" i="3"/>
  <c r="AH86" i="3"/>
  <c r="AL86" i="3" s="1"/>
  <c r="I103" i="3"/>
  <c r="Z99" i="3"/>
  <c r="BR89" i="3"/>
  <c r="AK86" i="3"/>
  <c r="AL80" i="3"/>
  <c r="AM80" i="3"/>
  <c r="V72" i="3"/>
  <c r="AM60" i="3"/>
  <c r="Z86" i="3"/>
  <c r="BH98" i="3"/>
  <c r="Z60" i="3"/>
  <c r="AI60" i="3"/>
  <c r="Y96" i="3"/>
  <c r="AL96" i="3"/>
  <c r="BK86" i="3"/>
  <c r="L82" i="3"/>
  <c r="X82" i="3"/>
  <c r="V60" i="3"/>
  <c r="AU66" i="3"/>
  <c r="AY66" i="3" s="1"/>
  <c r="M82" i="3"/>
  <c r="AX86" i="3"/>
  <c r="BR86" i="3"/>
  <c r="AY80" i="3"/>
  <c r="X103" i="3"/>
  <c r="AI96" i="3"/>
  <c r="V64" i="3"/>
  <c r="AH64" i="3"/>
  <c r="AL64" i="3" s="1"/>
  <c r="AH66" i="3"/>
  <c r="AM66" i="3" s="1"/>
  <c r="AE82" i="3"/>
  <c r="BE66" i="3"/>
  <c r="V70" i="3"/>
  <c r="AK66" i="3"/>
  <c r="CX60" i="3"/>
  <c r="DE60" i="3"/>
  <c r="AQ82" i="3"/>
  <c r="AG82" i="3"/>
  <c r="BQ64" i="3"/>
  <c r="BK64" i="3"/>
  <c r="CQ86" i="3"/>
  <c r="BT98" i="3"/>
  <c r="AL68" i="3"/>
  <c r="AI68" i="3"/>
  <c r="AV98" i="3"/>
  <c r="AY98" i="3"/>
  <c r="AZ98" i="3"/>
  <c r="CS88" i="3"/>
  <c r="CR64" i="3"/>
  <c r="V74" i="3"/>
  <c r="CF80" i="3"/>
  <c r="BS82" i="3"/>
  <c r="AL97" i="3"/>
  <c r="AM97" i="3"/>
  <c r="AI97" i="3"/>
  <c r="AX74" i="3"/>
  <c r="BD74" i="3"/>
  <c r="L101" i="3"/>
  <c r="L103" i="3"/>
  <c r="ED60" i="3"/>
  <c r="AT74" i="3"/>
  <c r="AW74" i="3" s="1"/>
  <c r="AH74" i="3"/>
  <c r="CD70" i="3"/>
  <c r="BX70" i="3"/>
  <c r="DD97" i="3"/>
  <c r="ES86" i="3"/>
  <c r="BE68" i="3"/>
  <c r="AU68" i="3"/>
  <c r="AZ68" i="3" s="1"/>
  <c r="BD80" i="3"/>
  <c r="AX80" i="3"/>
  <c r="AZ80" i="3"/>
  <c r="DD99" i="3"/>
  <c r="AU97" i="3"/>
  <c r="BG97" i="3"/>
  <c r="BJ97" i="3" s="1"/>
  <c r="AI87" i="3"/>
  <c r="BQ68" i="3"/>
  <c r="AT85" i="3"/>
  <c r="AH85" i="3"/>
  <c r="AM62" i="3"/>
  <c r="AI62" i="3"/>
  <c r="AL62" i="3"/>
  <c r="BG99" i="3"/>
  <c r="BJ99" i="3" s="1"/>
  <c r="AU99" i="3"/>
  <c r="FZ75" i="2"/>
  <c r="AM87" i="3"/>
  <c r="BG78" i="3"/>
  <c r="BJ78" i="3" s="1"/>
  <c r="AU78" i="3"/>
  <c r="Y85" i="3"/>
  <c r="Z85" i="3"/>
  <c r="V85" i="3"/>
  <c r="CF98" i="3"/>
  <c r="CR74" i="3"/>
  <c r="BG62" i="3"/>
  <c r="BJ62" i="3" s="1"/>
  <c r="AU62" i="3"/>
  <c r="FK75" i="2"/>
  <c r="BJ75" i="2"/>
  <c r="DR75" i="2"/>
  <c r="V94" i="3"/>
  <c r="Z94" i="3"/>
  <c r="Y94" i="3"/>
  <c r="BE87" i="3"/>
  <c r="AX87" i="3"/>
  <c r="DD90" i="3"/>
  <c r="CN75" i="2"/>
  <c r="EG75" i="2"/>
  <c r="CQ94" i="3"/>
  <c r="CD78" i="3"/>
  <c r="BX78" i="3"/>
  <c r="AI78" i="3"/>
  <c r="AL78" i="3"/>
  <c r="AM78" i="3"/>
  <c r="DD62" i="3"/>
  <c r="AU66" i="2"/>
  <c r="AU111" i="2"/>
  <c r="AU110" i="2" s="1"/>
  <c r="DS78" i="3"/>
  <c r="EV75" i="2"/>
  <c r="AU58" i="2"/>
  <c r="AU75" i="2" s="1"/>
  <c r="AU105" i="2"/>
  <c r="AU104" i="2" s="1"/>
  <c r="AU117" i="2" s="1"/>
  <c r="AE75" i="2"/>
  <c r="AH94" i="3"/>
  <c r="AT94" i="3"/>
  <c r="BV76" i="3" l="1"/>
  <c r="BZ76" i="3"/>
  <c r="BB38" i="9"/>
  <c r="AW62" i="9"/>
  <c r="CK76" i="3"/>
  <c r="BY76" i="3"/>
  <c r="Y91" i="3"/>
  <c r="AK91" i="3"/>
  <c r="Z91" i="3"/>
  <c r="AT91" i="3"/>
  <c r="AH91" i="3"/>
  <c r="AI91" i="3" s="1"/>
  <c r="BD91" i="3"/>
  <c r="BQ88" i="3"/>
  <c r="CD88" i="3" s="1"/>
  <c r="CQ88" i="3" s="1"/>
  <c r="AK101" i="3"/>
  <c r="AL70" i="3"/>
  <c r="AR82" i="3"/>
  <c r="AX72" i="3"/>
  <c r="AX82" i="3" s="1"/>
  <c r="AM99" i="3"/>
  <c r="AI99" i="3"/>
  <c r="BG64" i="3"/>
  <c r="BJ64" i="3" s="1"/>
  <c r="BR72" i="3"/>
  <c r="CE72" i="3" s="1"/>
  <c r="AU72" i="3"/>
  <c r="AV72" i="3" s="1"/>
  <c r="BH72" i="3"/>
  <c r="BL72" i="3" s="1"/>
  <c r="AH101" i="3"/>
  <c r="AI101" i="3" s="1"/>
  <c r="AH103" i="3"/>
  <c r="AU64" i="3"/>
  <c r="AV64" i="3" s="1"/>
  <c r="AM72" i="3"/>
  <c r="AL72" i="3"/>
  <c r="AJ101" i="3"/>
  <c r="AW72" i="3"/>
  <c r="AK82" i="3"/>
  <c r="AJ103" i="3"/>
  <c r="AW88" i="3"/>
  <c r="BG88" i="3"/>
  <c r="CS94" i="3"/>
  <c r="CR70" i="3"/>
  <c r="CR98" i="3"/>
  <c r="CK98" i="3"/>
  <c r="BS85" i="3"/>
  <c r="BF91" i="3"/>
  <c r="BR66" i="3"/>
  <c r="CE66" i="3" s="1"/>
  <c r="Y101" i="3"/>
  <c r="CE89" i="3"/>
  <c r="CR89" i="3" s="1"/>
  <c r="BQ85" i="3"/>
  <c r="BK85" i="3"/>
  <c r="BD96" i="3"/>
  <c r="AQ101" i="3"/>
  <c r="AX101" i="3" s="1"/>
  <c r="AQ103" i="3"/>
  <c r="AX103" i="3" s="1"/>
  <c r="AX96" i="3"/>
  <c r="BT80" i="3"/>
  <c r="BJ80" i="3"/>
  <c r="AW94" i="3"/>
  <c r="AT103" i="3"/>
  <c r="AW103" i="3" s="1"/>
  <c r="AZ96" i="3"/>
  <c r="AU101" i="3"/>
  <c r="AV101" i="3" s="1"/>
  <c r="BW90" i="3"/>
  <c r="CG90" i="3"/>
  <c r="CH90" i="3" s="1"/>
  <c r="CM90" i="3" s="1"/>
  <c r="CR62" i="3"/>
  <c r="CK62" i="3"/>
  <c r="AV96" i="3"/>
  <c r="BL98" i="3"/>
  <c r="BI98" i="3"/>
  <c r="BE88" i="3"/>
  <c r="BE91" i="3" s="1"/>
  <c r="AU88" i="3"/>
  <c r="AX88" i="3"/>
  <c r="AX91" i="3" s="1"/>
  <c r="CH76" i="3"/>
  <c r="CL76" i="3" s="1"/>
  <c r="CR76" i="3"/>
  <c r="CJ76" i="3"/>
  <c r="AW85" i="3"/>
  <c r="BU90" i="3"/>
  <c r="BZ90" i="3" s="1"/>
  <c r="BE101" i="3"/>
  <c r="AI70" i="3"/>
  <c r="AL89" i="3"/>
  <c r="BT66" i="3"/>
  <c r="BJ66" i="3"/>
  <c r="BS96" i="3"/>
  <c r="BF101" i="3"/>
  <c r="BF103" i="3"/>
  <c r="BG96" i="3"/>
  <c r="AT101" i="3"/>
  <c r="AW101" i="3" s="1"/>
  <c r="AW96" i="3"/>
  <c r="BE103" i="3"/>
  <c r="Z101" i="3"/>
  <c r="CR78" i="3"/>
  <c r="CR97" i="3"/>
  <c r="CK97" i="3"/>
  <c r="AL88" i="3"/>
  <c r="AI88" i="3"/>
  <c r="AM88" i="3"/>
  <c r="CE99" i="3"/>
  <c r="BX99" i="3"/>
  <c r="BG89" i="3"/>
  <c r="AW89" i="3"/>
  <c r="AU89" i="3"/>
  <c r="BK68" i="3"/>
  <c r="BU98" i="3"/>
  <c r="BV98" i="3" s="1"/>
  <c r="BW98" i="3"/>
  <c r="BR85" i="3"/>
  <c r="BX86" i="3"/>
  <c r="AY96" i="3"/>
  <c r="BT72" i="3"/>
  <c r="BJ72" i="3"/>
  <c r="BG70" i="3"/>
  <c r="AW70" i="3"/>
  <c r="AU70" i="3"/>
  <c r="BG86" i="3"/>
  <c r="AW86" i="3"/>
  <c r="BR96" i="3"/>
  <c r="CE96" i="3" s="1"/>
  <c r="AI89" i="3"/>
  <c r="BG87" i="3"/>
  <c r="BH87" i="3" s="1"/>
  <c r="BL87" i="3" s="1"/>
  <c r="AW87" i="3"/>
  <c r="BG60" i="3"/>
  <c r="AW60" i="3"/>
  <c r="AU60" i="3"/>
  <c r="BJ68" i="3"/>
  <c r="BT68" i="3"/>
  <c r="CE94" i="3"/>
  <c r="BX94" i="3"/>
  <c r="AJ82" i="3"/>
  <c r="AM86" i="3"/>
  <c r="BX89" i="3"/>
  <c r="CI90" i="3"/>
  <c r="CR90" i="3"/>
  <c r="AI86" i="3"/>
  <c r="BM98" i="3"/>
  <c r="Y62" i="9"/>
  <c r="AJ91" i="3"/>
  <c r="BL80" i="3"/>
  <c r="AY86" i="3"/>
  <c r="AV86" i="3"/>
  <c r="AZ86" i="3"/>
  <c r="AI64" i="3"/>
  <c r="AV66" i="3"/>
  <c r="CE86" i="3"/>
  <c r="AI66" i="3"/>
  <c r="AZ66" i="3"/>
  <c r="CR80" i="3"/>
  <c r="AT82" i="3"/>
  <c r="Y82" i="3"/>
  <c r="Z82" i="3"/>
  <c r="AL66" i="3"/>
  <c r="AH82" i="3"/>
  <c r="AI82" i="3" s="1"/>
  <c r="AM64" i="3"/>
  <c r="BK66" i="3"/>
  <c r="BH66" i="3"/>
  <c r="BI66" i="3" s="1"/>
  <c r="DR60" i="3"/>
  <c r="EE60" i="3" s="1"/>
  <c r="DK60" i="3"/>
  <c r="CD64" i="3"/>
  <c r="BX64" i="3"/>
  <c r="BD82" i="3"/>
  <c r="DD86" i="3"/>
  <c r="AY68" i="3"/>
  <c r="DQ99" i="3"/>
  <c r="BK80" i="3"/>
  <c r="BQ80" i="3"/>
  <c r="AV68" i="3"/>
  <c r="CQ70" i="3"/>
  <c r="CK70" i="3"/>
  <c r="EQ60" i="3"/>
  <c r="DF88" i="3"/>
  <c r="BM80" i="3"/>
  <c r="BT97" i="3"/>
  <c r="BW97" i="3" s="1"/>
  <c r="BH97" i="3"/>
  <c r="BI97" i="3" s="1"/>
  <c r="AL74" i="3"/>
  <c r="AM74" i="3"/>
  <c r="AI74" i="3"/>
  <c r="BQ74" i="3"/>
  <c r="BK74" i="3"/>
  <c r="CS80" i="3"/>
  <c r="CF82" i="3"/>
  <c r="AV97" i="3"/>
  <c r="AY97" i="3"/>
  <c r="AZ97" i="3"/>
  <c r="BR68" i="3"/>
  <c r="BE82" i="3"/>
  <c r="BH68" i="3"/>
  <c r="BI68" i="3" s="1"/>
  <c r="DE64" i="3"/>
  <c r="CG98" i="3"/>
  <c r="DQ97" i="3"/>
  <c r="BG74" i="3"/>
  <c r="AU74" i="3"/>
  <c r="EF78" i="3"/>
  <c r="DE74" i="3"/>
  <c r="AV99" i="3"/>
  <c r="AY99" i="3"/>
  <c r="AZ99" i="3"/>
  <c r="DQ62" i="3"/>
  <c r="DD94" i="3"/>
  <c r="BG94" i="3"/>
  <c r="AU94" i="3"/>
  <c r="AU103" i="3" s="1"/>
  <c r="AZ87" i="3"/>
  <c r="AZ62" i="3"/>
  <c r="AV62" i="3"/>
  <c r="AY62" i="3"/>
  <c r="AY78" i="3"/>
  <c r="AZ78" i="3"/>
  <c r="AV78" i="3"/>
  <c r="Y103" i="3"/>
  <c r="Z103" i="3"/>
  <c r="V103" i="3"/>
  <c r="BT99" i="3"/>
  <c r="BW99" i="3" s="1"/>
  <c r="BH99" i="3"/>
  <c r="BI99" i="3" s="1"/>
  <c r="BG85" i="3"/>
  <c r="AU85" i="3"/>
  <c r="CD68" i="3"/>
  <c r="CQ78" i="3"/>
  <c r="CK78" i="3"/>
  <c r="BT62" i="3"/>
  <c r="BW62" i="3" s="1"/>
  <c r="BH62" i="3"/>
  <c r="BI62" i="3" s="1"/>
  <c r="CS98" i="3"/>
  <c r="AL85" i="3"/>
  <c r="AM85" i="3"/>
  <c r="AI85" i="3"/>
  <c r="AL94" i="3"/>
  <c r="AI94" i="3"/>
  <c r="AM94" i="3"/>
  <c r="DQ90" i="3"/>
  <c r="AV87" i="3"/>
  <c r="BK87" i="3"/>
  <c r="BR87" i="3"/>
  <c r="BT78" i="3"/>
  <c r="BW78" i="3" s="1"/>
  <c r="BH78" i="3"/>
  <c r="BI78" i="3" s="1"/>
  <c r="CI76" i="3" l="1"/>
  <c r="CM76" i="3"/>
  <c r="BG38" i="9"/>
  <c r="BG62" i="9" s="1"/>
  <c r="BB62" i="9"/>
  <c r="AM91" i="3"/>
  <c r="CK89" i="3"/>
  <c r="BG91" i="3"/>
  <c r="BJ91" i="3" s="1"/>
  <c r="AL91" i="3"/>
  <c r="AL101" i="3"/>
  <c r="AW82" i="3"/>
  <c r="AM101" i="3"/>
  <c r="AY64" i="3"/>
  <c r="BU66" i="3"/>
  <c r="BV66" i="3" s="1"/>
  <c r="BH64" i="3"/>
  <c r="BI64" i="3" s="1"/>
  <c r="BT64" i="3"/>
  <c r="BW64" i="3" s="1"/>
  <c r="AZ64" i="3"/>
  <c r="BI72" i="3"/>
  <c r="BU72" i="3"/>
  <c r="BZ72" i="3" s="1"/>
  <c r="BX72" i="3"/>
  <c r="CR72" i="3"/>
  <c r="CX72" i="3" s="1"/>
  <c r="CK72" i="3"/>
  <c r="AY72" i="3"/>
  <c r="BM72" i="3"/>
  <c r="AZ72" i="3"/>
  <c r="CE101" i="3"/>
  <c r="BX66" i="3"/>
  <c r="BY98" i="3"/>
  <c r="BR103" i="3"/>
  <c r="BT87" i="3"/>
  <c r="BU87" i="3" s="1"/>
  <c r="BY87" i="3" s="1"/>
  <c r="BJ87" i="3"/>
  <c r="CH98" i="3"/>
  <c r="CM98" i="3" s="1"/>
  <c r="CJ98" i="3"/>
  <c r="CK86" i="3"/>
  <c r="BH60" i="3"/>
  <c r="BJ60" i="3"/>
  <c r="BT60" i="3"/>
  <c r="BT86" i="3"/>
  <c r="BJ86" i="3"/>
  <c r="BH86" i="3"/>
  <c r="AZ89" i="3"/>
  <c r="AV89" i="3"/>
  <c r="AY89" i="3"/>
  <c r="CG66" i="3"/>
  <c r="CH66" i="3" s="1"/>
  <c r="CM66" i="3" s="1"/>
  <c r="BW66" i="3"/>
  <c r="AY88" i="3"/>
  <c r="AZ88" i="3"/>
  <c r="CJ90" i="3"/>
  <c r="CT90" i="3"/>
  <c r="CU90" i="3" s="1"/>
  <c r="CZ90" i="3" s="1"/>
  <c r="CG80" i="3"/>
  <c r="BW80" i="3"/>
  <c r="BU80" i="3"/>
  <c r="BZ80" i="3" s="1"/>
  <c r="CF85" i="3"/>
  <c r="BS91" i="3"/>
  <c r="BJ88" i="3"/>
  <c r="BT88" i="3"/>
  <c r="BZ98" i="3"/>
  <c r="AZ70" i="3"/>
  <c r="AY70" i="3"/>
  <c r="AV70" i="3"/>
  <c r="CE85" i="3"/>
  <c r="AW91" i="3"/>
  <c r="BR88" i="3"/>
  <c r="BR91" i="3" s="1"/>
  <c r="BH88" i="3"/>
  <c r="BK88" i="3"/>
  <c r="BK91" i="3" s="1"/>
  <c r="BT89" i="3"/>
  <c r="BJ89" i="3"/>
  <c r="BH89" i="3"/>
  <c r="DE98" i="3"/>
  <c r="CX98" i="3"/>
  <c r="BT70" i="3"/>
  <c r="BJ70" i="3"/>
  <c r="BH70" i="3"/>
  <c r="BW68" i="3"/>
  <c r="CG68" i="3"/>
  <c r="DE78" i="3"/>
  <c r="CU76" i="3"/>
  <c r="CZ76" i="3" s="1"/>
  <c r="CW76" i="3"/>
  <c r="DE76" i="3"/>
  <c r="CX76" i="3"/>
  <c r="BG82" i="3"/>
  <c r="BJ82" i="3" s="1"/>
  <c r="BJ74" i="3"/>
  <c r="AZ101" i="3"/>
  <c r="BY90" i="3"/>
  <c r="BR101" i="3"/>
  <c r="CG72" i="3"/>
  <c r="CH72" i="3" s="1"/>
  <c r="BW72" i="3"/>
  <c r="CR99" i="3"/>
  <c r="CK99" i="3"/>
  <c r="BT96" i="3"/>
  <c r="BJ96" i="3"/>
  <c r="BG101" i="3"/>
  <c r="BJ101" i="3" s="1"/>
  <c r="BH96" i="3"/>
  <c r="BM96" i="3" s="1"/>
  <c r="BJ94" i="3"/>
  <c r="BG103" i="3"/>
  <c r="BJ103" i="3" s="1"/>
  <c r="AV88" i="3"/>
  <c r="AU91" i="3"/>
  <c r="AV91" i="3" s="1"/>
  <c r="AY101" i="3"/>
  <c r="CX89" i="3"/>
  <c r="CX90" i="3"/>
  <c r="CV90" i="3"/>
  <c r="AZ60" i="3"/>
  <c r="AY60" i="3"/>
  <c r="AV60" i="3"/>
  <c r="CF96" i="3"/>
  <c r="BS101" i="3"/>
  <c r="BS103" i="3"/>
  <c r="DE97" i="3"/>
  <c r="CX97" i="3"/>
  <c r="CR94" i="3"/>
  <c r="CE103" i="3"/>
  <c r="CK94" i="3"/>
  <c r="DE70" i="3"/>
  <c r="BQ96" i="3"/>
  <c r="BD101" i="3"/>
  <c r="BD103" i="3"/>
  <c r="BK103" i="3" s="1"/>
  <c r="BK96" i="3"/>
  <c r="BX68" i="3"/>
  <c r="BJ85" i="3"/>
  <c r="DE62" i="3"/>
  <c r="CX62" i="3"/>
  <c r="CD85" i="3"/>
  <c r="BQ91" i="3"/>
  <c r="BX85" i="3"/>
  <c r="DF94" i="3"/>
  <c r="BI87" i="3"/>
  <c r="CL90" i="3"/>
  <c r="DE90" i="3"/>
  <c r="DE89" i="3"/>
  <c r="AD62" i="9"/>
  <c r="DX60" i="3"/>
  <c r="AU82" i="3"/>
  <c r="AV82" i="3" s="1"/>
  <c r="CR86" i="3"/>
  <c r="DE80" i="3"/>
  <c r="BM66" i="3"/>
  <c r="BQ82" i="3"/>
  <c r="AL82" i="3"/>
  <c r="BL66" i="3"/>
  <c r="AM82" i="3"/>
  <c r="CR96" i="3"/>
  <c r="CQ64" i="3"/>
  <c r="CK64" i="3"/>
  <c r="CR66" i="3"/>
  <c r="CK66" i="3"/>
  <c r="DQ86" i="3"/>
  <c r="AV74" i="3"/>
  <c r="AY74" i="3"/>
  <c r="AZ74" i="3"/>
  <c r="ED97" i="3"/>
  <c r="CG97" i="3"/>
  <c r="CJ97" i="3" s="1"/>
  <c r="BU97" i="3"/>
  <c r="BV97" i="3" s="1"/>
  <c r="BL68" i="3"/>
  <c r="BM68" i="3"/>
  <c r="BK82" i="3"/>
  <c r="DS88" i="3"/>
  <c r="ED99" i="3"/>
  <c r="BT74" i="3"/>
  <c r="BH74" i="3"/>
  <c r="BI74" i="3" s="1"/>
  <c r="CT98" i="3"/>
  <c r="DR64" i="3"/>
  <c r="CD74" i="3"/>
  <c r="BX74" i="3"/>
  <c r="BL97" i="3"/>
  <c r="BM97" i="3"/>
  <c r="BX80" i="3"/>
  <c r="CD80" i="3"/>
  <c r="CE68" i="3"/>
  <c r="BR82" i="3"/>
  <c r="BU68" i="3"/>
  <c r="BV68" i="3" s="1"/>
  <c r="DF80" i="3"/>
  <c r="CS82" i="3"/>
  <c r="DD70" i="3"/>
  <c r="CX70" i="3"/>
  <c r="BL78" i="3"/>
  <c r="BM78" i="3"/>
  <c r="DF98" i="3"/>
  <c r="BT85" i="3"/>
  <c r="BH85" i="3"/>
  <c r="BM87" i="3"/>
  <c r="CQ68" i="3"/>
  <c r="BM99" i="3"/>
  <c r="BL99" i="3"/>
  <c r="AV94" i="3"/>
  <c r="AZ94" i="3"/>
  <c r="AY94" i="3"/>
  <c r="DD88" i="3"/>
  <c r="CG62" i="3"/>
  <c r="CJ62" i="3" s="1"/>
  <c r="BU62" i="3"/>
  <c r="BV62" i="3" s="1"/>
  <c r="ER60" i="3"/>
  <c r="EK60" i="3"/>
  <c r="ED90" i="3"/>
  <c r="DD78" i="3"/>
  <c r="CX78" i="3"/>
  <c r="CG99" i="3"/>
  <c r="CJ99" i="3" s="1"/>
  <c r="BU99" i="3"/>
  <c r="BV99" i="3" s="1"/>
  <c r="ES78" i="3"/>
  <c r="ED62" i="3"/>
  <c r="DR74" i="3"/>
  <c r="BT94" i="3"/>
  <c r="BH94" i="3"/>
  <c r="CG78" i="3"/>
  <c r="CJ78" i="3" s="1"/>
  <c r="BU78" i="3"/>
  <c r="BV78" i="3" s="1"/>
  <c r="CE87" i="3"/>
  <c r="BX87" i="3"/>
  <c r="BL62" i="3"/>
  <c r="BM62" i="3"/>
  <c r="AZ85" i="3"/>
  <c r="AY85" i="3"/>
  <c r="AV85" i="3"/>
  <c r="DQ94" i="3"/>
  <c r="AL103" i="3"/>
  <c r="AM103" i="3"/>
  <c r="AI103" i="3"/>
  <c r="BH91" i="3" l="1"/>
  <c r="BI91" i="3" s="1"/>
  <c r="AY91" i="3"/>
  <c r="AZ91" i="3"/>
  <c r="BY66" i="3"/>
  <c r="BZ66" i="3"/>
  <c r="CG64" i="3"/>
  <c r="CJ64" i="3" s="1"/>
  <c r="BM64" i="3"/>
  <c r="BL64" i="3"/>
  <c r="DE72" i="3"/>
  <c r="DK72" i="3" s="1"/>
  <c r="BU64" i="3"/>
  <c r="BV64" i="3" s="1"/>
  <c r="BV72" i="3"/>
  <c r="BY72" i="3"/>
  <c r="CV76" i="3"/>
  <c r="CM72" i="3"/>
  <c r="CL72" i="3"/>
  <c r="CI72" i="3"/>
  <c r="BH103" i="3"/>
  <c r="BH82" i="3"/>
  <c r="BI82" i="3" s="1"/>
  <c r="CS85" i="3"/>
  <c r="CF91" i="3"/>
  <c r="BT82" i="3"/>
  <c r="BW82" i="3" s="1"/>
  <c r="BW74" i="3"/>
  <c r="BW85" i="3"/>
  <c r="BT91" i="3"/>
  <c r="BW91" i="3" s="1"/>
  <c r="DR70" i="3"/>
  <c r="CI98" i="3"/>
  <c r="CS96" i="3"/>
  <c r="CF101" i="3"/>
  <c r="CF103" i="3"/>
  <c r="CJ68" i="3"/>
  <c r="CT68" i="3"/>
  <c r="BM86" i="3"/>
  <c r="BI86" i="3"/>
  <c r="BL86" i="3"/>
  <c r="CU98" i="3"/>
  <c r="CV98" i="3" s="1"/>
  <c r="CW98" i="3"/>
  <c r="AZ82" i="3"/>
  <c r="DK90" i="3"/>
  <c r="DI90" i="3"/>
  <c r="DS94" i="3"/>
  <c r="BK101" i="3"/>
  <c r="CR103" i="3"/>
  <c r="DE94" i="3"/>
  <c r="CX94" i="3"/>
  <c r="DR76" i="3"/>
  <c r="DH76" i="3"/>
  <c r="DM76" i="3" s="1"/>
  <c r="DJ76" i="3"/>
  <c r="DK76" i="3"/>
  <c r="BI70" i="3"/>
  <c r="BM70" i="3"/>
  <c r="BL70" i="3"/>
  <c r="CG89" i="3"/>
  <c r="BW89" i="3"/>
  <c r="BU89" i="3"/>
  <c r="CG86" i="3"/>
  <c r="BW86" i="3"/>
  <c r="BU86" i="3"/>
  <c r="CI66" i="3"/>
  <c r="BQ101" i="3"/>
  <c r="BQ103" i="3"/>
  <c r="BX103" i="3" s="1"/>
  <c r="CD96" i="3"/>
  <c r="BX96" i="3"/>
  <c r="CR101" i="3"/>
  <c r="DR97" i="3"/>
  <c r="DK97" i="3"/>
  <c r="CG96" i="3"/>
  <c r="BW96" i="3"/>
  <c r="BT101" i="3"/>
  <c r="BW101" i="3" s="1"/>
  <c r="BU96" i="3"/>
  <c r="BZ96" i="3" s="1"/>
  <c r="BT103" i="3"/>
  <c r="BW103" i="3" s="1"/>
  <c r="BW94" i="3"/>
  <c r="CQ85" i="3"/>
  <c r="CD91" i="3"/>
  <c r="CK85" i="3"/>
  <c r="BM88" i="3"/>
  <c r="BL88" i="3"/>
  <c r="BI88" i="3"/>
  <c r="CJ80" i="3"/>
  <c r="CT80" i="3"/>
  <c r="CH80" i="3"/>
  <c r="CM80" i="3" s="1"/>
  <c r="CL98" i="3"/>
  <c r="CX86" i="3"/>
  <c r="DE99" i="3"/>
  <c r="CX99" i="3"/>
  <c r="DR78" i="3"/>
  <c r="DR98" i="3"/>
  <c r="DK98" i="3"/>
  <c r="CE88" i="3"/>
  <c r="CE91" i="3" s="1"/>
  <c r="BX88" i="3"/>
  <c r="BX91" i="3" s="1"/>
  <c r="BU88" i="3"/>
  <c r="BV87" i="3"/>
  <c r="CW90" i="3"/>
  <c r="DG90" i="3"/>
  <c r="DH90" i="3" s="1"/>
  <c r="DM90" i="3" s="1"/>
  <c r="CG87" i="3"/>
  <c r="CH87" i="3" s="1"/>
  <c r="CI87" i="3" s="1"/>
  <c r="BW87" i="3"/>
  <c r="CG60" i="3"/>
  <c r="BW60" i="3"/>
  <c r="BU60" i="3"/>
  <c r="CG70" i="3"/>
  <c r="BW70" i="3"/>
  <c r="BU70" i="3"/>
  <c r="BY80" i="3"/>
  <c r="BV80" i="3"/>
  <c r="CT66" i="3"/>
  <c r="CU66" i="3" s="1"/>
  <c r="CZ66" i="3" s="1"/>
  <c r="CJ66" i="3"/>
  <c r="BM60" i="3"/>
  <c r="BL60" i="3"/>
  <c r="BI60" i="3"/>
  <c r="DR62" i="3"/>
  <c r="DK62" i="3"/>
  <c r="CY76" i="3"/>
  <c r="BI89" i="3"/>
  <c r="BL89" i="3"/>
  <c r="BM89" i="3"/>
  <c r="CG88" i="3"/>
  <c r="BW88" i="3"/>
  <c r="CK68" i="3"/>
  <c r="DK89" i="3"/>
  <c r="BH101" i="3"/>
  <c r="BM101" i="3" s="1"/>
  <c r="BI96" i="3"/>
  <c r="BL96" i="3"/>
  <c r="CJ72" i="3"/>
  <c r="CT72" i="3"/>
  <c r="CR85" i="3"/>
  <c r="CY90" i="3"/>
  <c r="DR90" i="3"/>
  <c r="DR89" i="3"/>
  <c r="AI62" i="9"/>
  <c r="AY82" i="3"/>
  <c r="DE86" i="3"/>
  <c r="DR80" i="3"/>
  <c r="BX82" i="3"/>
  <c r="CD82" i="3"/>
  <c r="CL66" i="3"/>
  <c r="DE96" i="3"/>
  <c r="DD64" i="3"/>
  <c r="CX64" i="3"/>
  <c r="ED86" i="3"/>
  <c r="DE66" i="3"/>
  <c r="CX66" i="3"/>
  <c r="BZ68" i="3"/>
  <c r="CQ80" i="3"/>
  <c r="CK80" i="3"/>
  <c r="EE64" i="3"/>
  <c r="CT97" i="3"/>
  <c r="CW97" i="3" s="1"/>
  <c r="CH97" i="3"/>
  <c r="DS80" i="3"/>
  <c r="DF82" i="3"/>
  <c r="CR68" i="3"/>
  <c r="CE82" i="3"/>
  <c r="CH68" i="3"/>
  <c r="CI68" i="3" s="1"/>
  <c r="DG98" i="3"/>
  <c r="CG74" i="3"/>
  <c r="BU74" i="3"/>
  <c r="BV74" i="3" s="1"/>
  <c r="EQ99" i="3"/>
  <c r="DQ70" i="3"/>
  <c r="DK70" i="3"/>
  <c r="CQ74" i="3"/>
  <c r="CQ82" i="3" s="1"/>
  <c r="CK74" i="3"/>
  <c r="EQ97" i="3"/>
  <c r="BL74" i="3"/>
  <c r="BM74" i="3"/>
  <c r="EF88" i="3"/>
  <c r="BZ97" i="3"/>
  <c r="BY97" i="3"/>
  <c r="BY68" i="3"/>
  <c r="CT78" i="3"/>
  <c r="CW78" i="3" s="1"/>
  <c r="CH78" i="3"/>
  <c r="CI78" i="3" s="1"/>
  <c r="EQ62" i="3"/>
  <c r="CT99" i="3"/>
  <c r="CW99" i="3" s="1"/>
  <c r="CH99" i="3"/>
  <c r="CH62" i="3"/>
  <c r="CI62" i="3" s="1"/>
  <c r="CT62" i="3"/>
  <c r="CW62" i="3" s="1"/>
  <c r="DQ88" i="3"/>
  <c r="BI94" i="3"/>
  <c r="BM94" i="3"/>
  <c r="BL94" i="3"/>
  <c r="BZ99" i="3"/>
  <c r="BY99" i="3"/>
  <c r="BZ87" i="3"/>
  <c r="BY78" i="3"/>
  <c r="BZ78" i="3"/>
  <c r="EE74" i="3"/>
  <c r="AY103" i="3"/>
  <c r="AV103" i="3"/>
  <c r="AZ103" i="3"/>
  <c r="DQ78" i="3"/>
  <c r="DK78" i="3"/>
  <c r="EQ90" i="3"/>
  <c r="BM85" i="3"/>
  <c r="BI85" i="3"/>
  <c r="BL85" i="3"/>
  <c r="DD68" i="3"/>
  <c r="CK87" i="3"/>
  <c r="CR87" i="3"/>
  <c r="ED94" i="3"/>
  <c r="CG94" i="3"/>
  <c r="BU94" i="3"/>
  <c r="EX60" i="3"/>
  <c r="BZ62" i="3"/>
  <c r="BY62" i="3"/>
  <c r="CG85" i="3"/>
  <c r="BU85" i="3"/>
  <c r="DS98" i="3"/>
  <c r="BM91" i="3" l="1"/>
  <c r="BL91" i="3"/>
  <c r="BZ88" i="3"/>
  <c r="BU91" i="3"/>
  <c r="BV91" i="3" s="1"/>
  <c r="BY88" i="3"/>
  <c r="BV88" i="3"/>
  <c r="CH64" i="3"/>
  <c r="CI64" i="3" s="1"/>
  <c r="CT64" i="3"/>
  <c r="CW64" i="3" s="1"/>
  <c r="DR72" i="3"/>
  <c r="EE72" i="3" s="1"/>
  <c r="ER72" i="3" s="1"/>
  <c r="BY64" i="3"/>
  <c r="BZ64" i="3"/>
  <c r="BU82" i="3"/>
  <c r="BV82" i="3" s="1"/>
  <c r="BU103" i="3"/>
  <c r="BL82" i="3"/>
  <c r="DL76" i="3"/>
  <c r="DE85" i="3"/>
  <c r="EE62" i="3"/>
  <c r="DX62" i="3"/>
  <c r="CJ87" i="3"/>
  <c r="CT87" i="3"/>
  <c r="CU87" i="3" s="1"/>
  <c r="CY87" i="3" s="1"/>
  <c r="DR99" i="3"/>
  <c r="DK99" i="3"/>
  <c r="BZ86" i="3"/>
  <c r="BV86" i="3"/>
  <c r="BY86" i="3"/>
  <c r="CG82" i="3"/>
  <c r="CJ82" i="3" s="1"/>
  <c r="CJ74" i="3"/>
  <c r="CT70" i="3"/>
  <c r="CJ70" i="3"/>
  <c r="CH70" i="3"/>
  <c r="BY96" i="3"/>
  <c r="BU101" i="3"/>
  <c r="BV96" i="3"/>
  <c r="BM82" i="3"/>
  <c r="CW80" i="3"/>
  <c r="DG80" i="3"/>
  <c r="CU80" i="3"/>
  <c r="BX101" i="3"/>
  <c r="EE76" i="3"/>
  <c r="DX76" i="3"/>
  <c r="DU76" i="3"/>
  <c r="DZ76" i="3" s="1"/>
  <c r="DW76" i="3"/>
  <c r="CW68" i="3"/>
  <c r="DG68" i="3"/>
  <c r="DD85" i="3"/>
  <c r="DD91" i="3" s="1"/>
  <c r="CQ91" i="3"/>
  <c r="CX85" i="3"/>
  <c r="BY70" i="3"/>
  <c r="BV70" i="3"/>
  <c r="BZ70" i="3"/>
  <c r="CR88" i="3"/>
  <c r="CR91" i="3" s="1"/>
  <c r="CH88" i="3"/>
  <c r="CM88" i="3" s="1"/>
  <c r="CK88" i="3"/>
  <c r="CK91" i="3" s="1"/>
  <c r="DR94" i="3"/>
  <c r="DE103" i="3"/>
  <c r="DK94" i="3"/>
  <c r="CW72" i="3"/>
  <c r="DG72" i="3"/>
  <c r="CU72" i="3"/>
  <c r="CJ86" i="3"/>
  <c r="CT86" i="3"/>
  <c r="CH86" i="3"/>
  <c r="CY98" i="3"/>
  <c r="CV66" i="3"/>
  <c r="BY60" i="3"/>
  <c r="BV60" i="3"/>
  <c r="BZ60" i="3"/>
  <c r="EE98" i="3"/>
  <c r="DX98" i="3"/>
  <c r="BY89" i="3"/>
  <c r="BV89" i="3"/>
  <c r="BZ89" i="3"/>
  <c r="CZ98" i="3"/>
  <c r="CD101" i="3"/>
  <c r="CD103" i="3"/>
  <c r="CK103" i="3" s="1"/>
  <c r="CQ96" i="3"/>
  <c r="CK96" i="3"/>
  <c r="EE97" i="3"/>
  <c r="DX97" i="3"/>
  <c r="CG91" i="3"/>
  <c r="CJ91" i="3" s="1"/>
  <c r="CJ85" i="3"/>
  <c r="CT88" i="3"/>
  <c r="CJ88" i="3"/>
  <c r="CG103" i="3"/>
  <c r="CJ103" i="3" s="1"/>
  <c r="CJ94" i="3"/>
  <c r="DX90" i="3"/>
  <c r="DV90" i="3"/>
  <c r="DJ90" i="3"/>
  <c r="DT90" i="3"/>
  <c r="DU90" i="3" s="1"/>
  <c r="DZ90" i="3" s="1"/>
  <c r="DH98" i="3"/>
  <c r="DI98" i="3" s="1"/>
  <c r="DJ98" i="3"/>
  <c r="DF96" i="3"/>
  <c r="CS101" i="3"/>
  <c r="CS103" i="3"/>
  <c r="CX68" i="3"/>
  <c r="DE101" i="3"/>
  <c r="BL101" i="3"/>
  <c r="BI101" i="3"/>
  <c r="DG66" i="3"/>
  <c r="DH66" i="3" s="1"/>
  <c r="DM66" i="3" s="1"/>
  <c r="CW66" i="3"/>
  <c r="CT60" i="3"/>
  <c r="CJ60" i="3"/>
  <c r="CH60" i="3"/>
  <c r="EE78" i="3"/>
  <c r="CI80" i="3"/>
  <c r="CL80" i="3"/>
  <c r="CJ96" i="3"/>
  <c r="CG101" i="3"/>
  <c r="CJ101" i="3" s="1"/>
  <c r="CT96" i="3"/>
  <c r="CH96" i="3"/>
  <c r="CT89" i="3"/>
  <c r="CJ89" i="3"/>
  <c r="CH89" i="3"/>
  <c r="DI76" i="3"/>
  <c r="EF94" i="3"/>
  <c r="EE70" i="3"/>
  <c r="DF85" i="3"/>
  <c r="DF91" i="3" s="1"/>
  <c r="CS91" i="3"/>
  <c r="DL90" i="3"/>
  <c r="EE90" i="3"/>
  <c r="EE89" i="3"/>
  <c r="DX89" i="3"/>
  <c r="DR86" i="3"/>
  <c r="DK86" i="3"/>
  <c r="EE80" i="3"/>
  <c r="CK82" i="3"/>
  <c r="CY66" i="3"/>
  <c r="DQ64" i="3"/>
  <c r="DK64" i="3"/>
  <c r="DR96" i="3"/>
  <c r="DR66" i="3"/>
  <c r="DK66" i="3"/>
  <c r="EQ86" i="3"/>
  <c r="ES88" i="3"/>
  <c r="ED70" i="3"/>
  <c r="DX70" i="3"/>
  <c r="BZ74" i="3"/>
  <c r="BY74" i="3"/>
  <c r="DT98" i="3"/>
  <c r="DE68" i="3"/>
  <c r="CR82" i="3"/>
  <c r="CU68" i="3"/>
  <c r="CV68" i="3" s="1"/>
  <c r="CL97" i="3"/>
  <c r="CI97" i="3"/>
  <c r="CM97" i="3"/>
  <c r="ER64" i="3"/>
  <c r="CX80" i="3"/>
  <c r="DD80" i="3"/>
  <c r="CX74" i="3"/>
  <c r="DD74" i="3"/>
  <c r="CM68" i="3"/>
  <c r="CL68" i="3"/>
  <c r="CT74" i="3"/>
  <c r="CH74" i="3"/>
  <c r="CI74" i="3" s="1"/>
  <c r="DG97" i="3"/>
  <c r="DJ97" i="3" s="1"/>
  <c r="CU97" i="3"/>
  <c r="CV97" i="3" s="1"/>
  <c r="EF80" i="3"/>
  <c r="DS82" i="3"/>
  <c r="CT85" i="3"/>
  <c r="CH85" i="3"/>
  <c r="ER74" i="3"/>
  <c r="BZ85" i="3"/>
  <c r="BV85" i="3"/>
  <c r="BY85" i="3"/>
  <c r="CT94" i="3"/>
  <c r="CH94" i="3"/>
  <c r="ED78" i="3"/>
  <c r="DX78" i="3"/>
  <c r="CL62" i="3"/>
  <c r="CM62" i="3"/>
  <c r="CL78" i="3"/>
  <c r="CM78" i="3"/>
  <c r="DG78" i="3"/>
  <c r="DJ78" i="3" s="1"/>
  <c r="CU78" i="3"/>
  <c r="CV78" i="3" s="1"/>
  <c r="CX87" i="3"/>
  <c r="DE87" i="3"/>
  <c r="CM87" i="3"/>
  <c r="CM99" i="3"/>
  <c r="CL99" i="3"/>
  <c r="CI99" i="3"/>
  <c r="BM103" i="3"/>
  <c r="BI103" i="3"/>
  <c r="BL103" i="3"/>
  <c r="DG62" i="3"/>
  <c r="DJ62" i="3" s="1"/>
  <c r="CU62" i="3"/>
  <c r="CV62" i="3" s="1"/>
  <c r="BY94" i="3"/>
  <c r="BV94" i="3"/>
  <c r="BZ94" i="3"/>
  <c r="EQ94" i="3"/>
  <c r="ED88" i="3"/>
  <c r="EF98" i="3"/>
  <c r="CL87" i="3"/>
  <c r="DQ68" i="3"/>
  <c r="DG99" i="3"/>
  <c r="DJ99" i="3" s="1"/>
  <c r="CU99" i="3"/>
  <c r="CV99" i="3" s="1"/>
  <c r="EK90" i="3" l="1"/>
  <c r="BY91" i="3"/>
  <c r="BZ91" i="3"/>
  <c r="CM64" i="3"/>
  <c r="CU64" i="3"/>
  <c r="CV64" i="3" s="1"/>
  <c r="CL64" i="3"/>
  <c r="CI88" i="3"/>
  <c r="DG64" i="3"/>
  <c r="DJ64" i="3" s="1"/>
  <c r="EK72" i="3"/>
  <c r="DX72" i="3"/>
  <c r="DY76" i="3"/>
  <c r="DL98" i="3"/>
  <c r="DM98" i="3"/>
  <c r="CH82" i="3"/>
  <c r="CI82" i="3" s="1"/>
  <c r="DI66" i="3"/>
  <c r="BY82" i="3"/>
  <c r="CH103" i="3"/>
  <c r="DS85" i="3"/>
  <c r="ER97" i="3"/>
  <c r="EK97" i="3"/>
  <c r="DJ68" i="3"/>
  <c r="DT68" i="3"/>
  <c r="CT103" i="3"/>
  <c r="CW103" i="3" s="1"/>
  <c r="CW94" i="3"/>
  <c r="DU98" i="3"/>
  <c r="DV98" i="3" s="1"/>
  <c r="DW98" i="3"/>
  <c r="DR101" i="3"/>
  <c r="ER70" i="3"/>
  <c r="CV80" i="3"/>
  <c r="CY80" i="3"/>
  <c r="BZ82" i="3"/>
  <c r="CW96" i="3"/>
  <c r="CT101" i="3"/>
  <c r="CW101" i="3" s="1"/>
  <c r="DG96" i="3"/>
  <c r="DJ80" i="3"/>
  <c r="DT80" i="3"/>
  <c r="DH80" i="3"/>
  <c r="DM80" i="3" s="1"/>
  <c r="CZ80" i="3"/>
  <c r="CM89" i="3"/>
  <c r="CL89" i="3"/>
  <c r="CI89" i="3"/>
  <c r="CV87" i="3"/>
  <c r="ER76" i="3"/>
  <c r="EK76" i="3"/>
  <c r="EH76" i="3"/>
  <c r="EJ76" i="3"/>
  <c r="DK68" i="3"/>
  <c r="BV101" i="3"/>
  <c r="BY101" i="3"/>
  <c r="BZ101" i="3"/>
  <c r="CM96" i="3"/>
  <c r="CH101" i="3"/>
  <c r="CM101" i="3" s="1"/>
  <c r="CL96" i="3"/>
  <c r="CI96" i="3"/>
  <c r="DS96" i="3"/>
  <c r="DF101" i="3"/>
  <c r="DF103" i="3"/>
  <c r="CM86" i="3"/>
  <c r="CI86" i="3"/>
  <c r="CL86" i="3"/>
  <c r="ER62" i="3"/>
  <c r="EK62" i="3"/>
  <c r="DR85" i="3"/>
  <c r="EE85" i="3" s="1"/>
  <c r="ER85" i="3" s="1"/>
  <c r="DG60" i="3"/>
  <c r="CW60" i="3"/>
  <c r="CU60" i="3"/>
  <c r="DG88" i="3"/>
  <c r="CW88" i="3"/>
  <c r="CL88" i="3"/>
  <c r="DG70" i="3"/>
  <c r="CW70" i="3"/>
  <c r="CU70" i="3"/>
  <c r="EE99" i="3"/>
  <c r="DX99" i="3"/>
  <c r="CH91" i="3"/>
  <c r="CI91" i="3" s="1"/>
  <c r="CW85" i="3"/>
  <c r="CT91" i="3"/>
  <c r="CW91" i="3" s="1"/>
  <c r="ER78" i="3"/>
  <c r="CT82" i="3"/>
  <c r="CW82" i="3" s="1"/>
  <c r="CW74" i="3"/>
  <c r="CM60" i="3"/>
  <c r="CL60" i="3"/>
  <c r="CI60" i="3"/>
  <c r="EE94" i="3"/>
  <c r="DR103" i="3"/>
  <c r="DX94" i="3"/>
  <c r="DG86" i="3"/>
  <c r="CW86" i="3"/>
  <c r="CU86" i="3"/>
  <c r="DX86" i="3"/>
  <c r="ES94" i="3"/>
  <c r="DW90" i="3"/>
  <c r="EG90" i="3"/>
  <c r="EH90" i="3" s="1"/>
  <c r="EM90" i="3" s="1"/>
  <c r="CZ72" i="3"/>
  <c r="CV72" i="3"/>
  <c r="CY72" i="3"/>
  <c r="DQ85" i="3"/>
  <c r="DQ91" i="3" s="1"/>
  <c r="DK85" i="3"/>
  <c r="CW87" i="3"/>
  <c r="DG87" i="3"/>
  <c r="CK101" i="3"/>
  <c r="DG89" i="3"/>
  <c r="CW89" i="3"/>
  <c r="CU89" i="3"/>
  <c r="ER98" i="3"/>
  <c r="EK98" i="3"/>
  <c r="CL70" i="3"/>
  <c r="CM70" i="3"/>
  <c r="CI70" i="3"/>
  <c r="EI90" i="3"/>
  <c r="DT66" i="3"/>
  <c r="DU66" i="3" s="1"/>
  <c r="DV66" i="3" s="1"/>
  <c r="DJ66" i="3"/>
  <c r="CQ101" i="3"/>
  <c r="CQ103" i="3"/>
  <c r="CX103" i="3" s="1"/>
  <c r="DD96" i="3"/>
  <c r="CX96" i="3"/>
  <c r="DJ72" i="3"/>
  <c r="DT72" i="3"/>
  <c r="DH72" i="3"/>
  <c r="DE88" i="3"/>
  <c r="DE91" i="3" s="1"/>
  <c r="CU88" i="3"/>
  <c r="CZ88" i="3" s="1"/>
  <c r="CX88" i="3"/>
  <c r="CX91" i="3" s="1"/>
  <c r="DV76" i="3"/>
  <c r="CU96" i="3"/>
  <c r="ER90" i="3"/>
  <c r="DY90" i="3"/>
  <c r="ER89" i="3"/>
  <c r="EK89" i="3"/>
  <c r="EE86" i="3"/>
  <c r="ER80" i="3"/>
  <c r="CX82" i="3"/>
  <c r="DD82" i="3"/>
  <c r="EE96" i="3"/>
  <c r="ED64" i="3"/>
  <c r="DX64" i="3"/>
  <c r="DL66" i="3"/>
  <c r="EE66" i="3"/>
  <c r="DX66" i="3"/>
  <c r="ES80" i="3"/>
  <c r="EF82" i="3"/>
  <c r="DT97" i="3"/>
  <c r="DW97" i="3" s="1"/>
  <c r="DH97" i="3"/>
  <c r="DI97" i="3" s="1"/>
  <c r="CZ68" i="3"/>
  <c r="CY68" i="3"/>
  <c r="DG74" i="3"/>
  <c r="CU74" i="3"/>
  <c r="CV74" i="3" s="1"/>
  <c r="DK80" i="3"/>
  <c r="DQ80" i="3"/>
  <c r="EG98" i="3"/>
  <c r="DQ74" i="3"/>
  <c r="DK74" i="3"/>
  <c r="CY97" i="3"/>
  <c r="CZ97" i="3"/>
  <c r="CM74" i="3"/>
  <c r="CL74" i="3"/>
  <c r="DR68" i="3"/>
  <c r="DH68" i="3"/>
  <c r="DM68" i="3" s="1"/>
  <c r="DE82" i="3"/>
  <c r="EQ70" i="3"/>
  <c r="EK70" i="3"/>
  <c r="ES98" i="3"/>
  <c r="CZ99" i="3"/>
  <c r="CY99" i="3"/>
  <c r="CY62" i="3"/>
  <c r="CZ62" i="3"/>
  <c r="DK87" i="3"/>
  <c r="DR87" i="3"/>
  <c r="DT78" i="3"/>
  <c r="DW78" i="3" s="1"/>
  <c r="DH78" i="3"/>
  <c r="DI78" i="3" s="1"/>
  <c r="CM85" i="3"/>
  <c r="CL85" i="3"/>
  <c r="CI85" i="3"/>
  <c r="DT62" i="3"/>
  <c r="DW62" i="3" s="1"/>
  <c r="DH62" i="3"/>
  <c r="DI62" i="3" s="1"/>
  <c r="BY103" i="3"/>
  <c r="BV103" i="3"/>
  <c r="BZ103" i="3"/>
  <c r="CI94" i="3"/>
  <c r="CL94" i="3"/>
  <c r="CM94" i="3"/>
  <c r="EQ88" i="3"/>
  <c r="CZ87" i="3"/>
  <c r="CY78" i="3"/>
  <c r="CZ78" i="3"/>
  <c r="DG94" i="3"/>
  <c r="CU94" i="3"/>
  <c r="DG85" i="3"/>
  <c r="CU85" i="3"/>
  <c r="DT99" i="3"/>
  <c r="DW99" i="3" s="1"/>
  <c r="DH99" i="3"/>
  <c r="DI99" i="3" s="1"/>
  <c r="ED68" i="3"/>
  <c r="EX72" i="3"/>
  <c r="EQ78" i="3"/>
  <c r="EK78" i="3"/>
  <c r="DT64" i="3" l="1"/>
  <c r="DW64" i="3" s="1"/>
  <c r="EF85" i="3"/>
  <c r="DS91" i="3"/>
  <c r="CM91" i="3"/>
  <c r="EL90" i="3"/>
  <c r="CL91" i="3"/>
  <c r="CY64" i="3"/>
  <c r="CZ64" i="3"/>
  <c r="DH64" i="3"/>
  <c r="DI64" i="3" s="1"/>
  <c r="CM82" i="3"/>
  <c r="DI68" i="3"/>
  <c r="DZ98" i="3"/>
  <c r="CU82" i="3"/>
  <c r="CV82" i="3" s="1"/>
  <c r="CU103" i="3"/>
  <c r="DY98" i="3"/>
  <c r="DT89" i="3"/>
  <c r="DJ89" i="3"/>
  <c r="DH89" i="3"/>
  <c r="CY70" i="3"/>
  <c r="CZ70" i="3"/>
  <c r="CV70" i="3"/>
  <c r="DG82" i="3"/>
  <c r="DJ82" i="3" s="1"/>
  <c r="DJ74" i="3"/>
  <c r="DJ87" i="3"/>
  <c r="DT87" i="3"/>
  <c r="EL76" i="3"/>
  <c r="EM76" i="3"/>
  <c r="DG103" i="3"/>
  <c r="DJ103" i="3" s="1"/>
  <c r="DJ94" i="3"/>
  <c r="CL82" i="3"/>
  <c r="EE101" i="3"/>
  <c r="CY88" i="3"/>
  <c r="ED85" i="3"/>
  <c r="ED91" i="3" s="1"/>
  <c r="DX85" i="3"/>
  <c r="CZ60" i="3"/>
  <c r="CV60" i="3"/>
  <c r="CY60" i="3"/>
  <c r="EF96" i="3"/>
  <c r="DS101" i="3"/>
  <c r="DS103" i="3"/>
  <c r="DJ96" i="3"/>
  <c r="DG101" i="3"/>
  <c r="DJ101" i="3" s="1"/>
  <c r="DT96" i="3"/>
  <c r="DH96" i="3"/>
  <c r="ER99" i="3"/>
  <c r="EK99" i="3"/>
  <c r="CX101" i="3"/>
  <c r="CV88" i="3"/>
  <c r="CV86" i="3"/>
  <c r="CY86" i="3"/>
  <c r="CZ86" i="3"/>
  <c r="EX97" i="3"/>
  <c r="CU91" i="3"/>
  <c r="CV91" i="3" s="1"/>
  <c r="DM72" i="3"/>
  <c r="DI72" i="3"/>
  <c r="DL72" i="3"/>
  <c r="EG66" i="3"/>
  <c r="EH66" i="3" s="1"/>
  <c r="EL66" i="3" s="1"/>
  <c r="DW66" i="3"/>
  <c r="EX98" i="3"/>
  <c r="DI80" i="3"/>
  <c r="DL80" i="3"/>
  <c r="DD101" i="3"/>
  <c r="DD103" i="3"/>
  <c r="DK103" i="3" s="1"/>
  <c r="DQ96" i="3"/>
  <c r="DK96" i="3"/>
  <c r="ER94" i="3"/>
  <c r="EE103" i="3"/>
  <c r="EK94" i="3"/>
  <c r="DW68" i="3"/>
  <c r="EG68" i="3"/>
  <c r="EX62" i="3"/>
  <c r="DH88" i="3"/>
  <c r="DM88" i="3" s="1"/>
  <c r="DR88" i="3"/>
  <c r="DR91" i="3" s="1"/>
  <c r="DK88" i="3"/>
  <c r="DK91" i="3" s="1"/>
  <c r="EJ90" i="3"/>
  <c r="ET90" i="3"/>
  <c r="EW90" i="3" s="1"/>
  <c r="DT70" i="3"/>
  <c r="DJ70" i="3"/>
  <c r="DH70" i="3"/>
  <c r="DJ85" i="3"/>
  <c r="DG91" i="3"/>
  <c r="EH98" i="3"/>
  <c r="EI98" i="3" s="1"/>
  <c r="EJ98" i="3"/>
  <c r="EK86" i="3"/>
  <c r="CZ96" i="3"/>
  <c r="CU101" i="3"/>
  <c r="CV96" i="3"/>
  <c r="CY96" i="3"/>
  <c r="DW72" i="3"/>
  <c r="EG72" i="3"/>
  <c r="DU72" i="3"/>
  <c r="DT86" i="3"/>
  <c r="DJ86" i="3"/>
  <c r="DH86" i="3"/>
  <c r="EU76" i="3"/>
  <c r="EZ76" i="3" s="1"/>
  <c r="EX76" i="3"/>
  <c r="EW76" i="3"/>
  <c r="DW80" i="3"/>
  <c r="EG80" i="3"/>
  <c r="DU80" i="3"/>
  <c r="DT60" i="3"/>
  <c r="DJ60" i="3"/>
  <c r="DH60" i="3"/>
  <c r="CL101" i="3"/>
  <c r="CI101" i="3"/>
  <c r="EX90" i="3"/>
  <c r="EV90" i="3"/>
  <c r="DH87" i="3"/>
  <c r="DI87" i="3" s="1"/>
  <c r="DX68" i="3"/>
  <c r="CV89" i="3"/>
  <c r="CZ89" i="3"/>
  <c r="CY89" i="3"/>
  <c r="DT88" i="3"/>
  <c r="DJ88" i="3"/>
  <c r="EI76" i="3"/>
  <c r="EX89" i="3"/>
  <c r="ER86" i="3"/>
  <c r="DQ82" i="3"/>
  <c r="DK82" i="3"/>
  <c r="EQ64" i="3"/>
  <c r="EK64" i="3"/>
  <c r="ER96" i="3"/>
  <c r="DY66" i="3"/>
  <c r="DZ66" i="3"/>
  <c r="ER66" i="3"/>
  <c r="EK66" i="3"/>
  <c r="DT74" i="3"/>
  <c r="DH74" i="3"/>
  <c r="DI74" i="3" s="1"/>
  <c r="EG97" i="3"/>
  <c r="EJ97" i="3" s="1"/>
  <c r="DU97" i="3"/>
  <c r="DV97" i="3" s="1"/>
  <c r="ET98" i="3"/>
  <c r="EW98" i="3" s="1"/>
  <c r="DM97" i="3"/>
  <c r="DL97" i="3"/>
  <c r="EX70" i="3"/>
  <c r="EE68" i="3"/>
  <c r="DR82" i="3"/>
  <c r="DU68" i="3"/>
  <c r="DV68" i="3" s="1"/>
  <c r="ED74" i="3"/>
  <c r="DX74" i="3"/>
  <c r="ED80" i="3"/>
  <c r="DX80" i="3"/>
  <c r="CZ74" i="3"/>
  <c r="CY74" i="3"/>
  <c r="ES82" i="3"/>
  <c r="DL68" i="3"/>
  <c r="EG99" i="3"/>
  <c r="EJ99" i="3" s="1"/>
  <c r="DU99" i="3"/>
  <c r="DV99" i="3" s="1"/>
  <c r="DT85" i="3"/>
  <c r="DW85" i="3" s="1"/>
  <c r="DH85" i="3"/>
  <c r="DH94" i="3"/>
  <c r="DT94" i="3"/>
  <c r="EQ68" i="3"/>
  <c r="CZ85" i="3"/>
  <c r="CV85" i="3"/>
  <c r="CY85" i="3"/>
  <c r="CY94" i="3"/>
  <c r="CV94" i="3"/>
  <c r="CZ94" i="3"/>
  <c r="DX87" i="3"/>
  <c r="EE87" i="3"/>
  <c r="CL103" i="3"/>
  <c r="CI103" i="3"/>
  <c r="CM103" i="3"/>
  <c r="EX78" i="3"/>
  <c r="DL99" i="3"/>
  <c r="DM99" i="3"/>
  <c r="DU62" i="3"/>
  <c r="DV62" i="3" s="1"/>
  <c r="EG62" i="3"/>
  <c r="EJ62" i="3" s="1"/>
  <c r="DL78" i="3"/>
  <c r="DM78" i="3"/>
  <c r="DL62" i="3"/>
  <c r="DM62" i="3"/>
  <c r="EG78" i="3"/>
  <c r="EJ78" i="3" s="1"/>
  <c r="DU78" i="3"/>
  <c r="DV78" i="3" s="1"/>
  <c r="DU64" i="3" l="1"/>
  <c r="DV64" i="3" s="1"/>
  <c r="EG64" i="3"/>
  <c r="EJ64" i="3" s="1"/>
  <c r="ES85" i="3"/>
  <c r="ES91" i="3" s="1"/>
  <c r="EF91" i="3"/>
  <c r="CZ91" i="3"/>
  <c r="DT91" i="3"/>
  <c r="DW91" i="3" s="1"/>
  <c r="CY91" i="3"/>
  <c r="DM64" i="3"/>
  <c r="DH82" i="3"/>
  <c r="DI82" i="3" s="1"/>
  <c r="DL88" i="3"/>
  <c r="DL64" i="3"/>
  <c r="DH103" i="3"/>
  <c r="CY82" i="3"/>
  <c r="ER101" i="3"/>
  <c r="EQ85" i="3"/>
  <c r="EK85" i="3"/>
  <c r="DK101" i="3"/>
  <c r="CZ82" i="3"/>
  <c r="DV80" i="3"/>
  <c r="DY80" i="3"/>
  <c r="EL98" i="3"/>
  <c r="DZ80" i="3"/>
  <c r="EJ80" i="3"/>
  <c r="ET80" i="3"/>
  <c r="EH80" i="3"/>
  <c r="EM80" i="3" s="1"/>
  <c r="DM87" i="3"/>
  <c r="DW94" i="3"/>
  <c r="DT103" i="3"/>
  <c r="DW103" i="3" s="1"/>
  <c r="DM60" i="3"/>
  <c r="DI60" i="3"/>
  <c r="DL60" i="3"/>
  <c r="DQ101" i="3"/>
  <c r="ED96" i="3"/>
  <c r="DQ103" i="3"/>
  <c r="DX103" i="3" s="1"/>
  <c r="DX96" i="3"/>
  <c r="ET66" i="3"/>
  <c r="EW66" i="3" s="1"/>
  <c r="EJ66" i="3"/>
  <c r="EV76" i="3"/>
  <c r="CV101" i="3"/>
  <c r="CY101" i="3"/>
  <c r="ES96" i="3"/>
  <c r="EF101" i="3"/>
  <c r="EF103" i="3"/>
  <c r="DT82" i="3"/>
  <c r="DW82" i="3" s="1"/>
  <c r="DW74" i="3"/>
  <c r="EG86" i="3"/>
  <c r="DW86" i="3"/>
  <c r="DU86" i="3"/>
  <c r="DM70" i="3"/>
  <c r="DI70" i="3"/>
  <c r="DL70" i="3"/>
  <c r="DU88" i="3"/>
  <c r="EE88" i="3"/>
  <c r="EE91" i="3" s="1"/>
  <c r="DX88" i="3"/>
  <c r="DX91" i="3" s="1"/>
  <c r="CZ101" i="3"/>
  <c r="EX99" i="3"/>
  <c r="DM89" i="3"/>
  <c r="DI89" i="3"/>
  <c r="DL89" i="3"/>
  <c r="DJ91" i="3"/>
  <c r="DW87" i="3"/>
  <c r="EG87" i="3"/>
  <c r="DZ72" i="3"/>
  <c r="DV72" i="3"/>
  <c r="DY72" i="3"/>
  <c r="ER103" i="3"/>
  <c r="EX94" i="3"/>
  <c r="DM96" i="3"/>
  <c r="DH101" i="3"/>
  <c r="DM101" i="3" s="1"/>
  <c r="DI96" i="3"/>
  <c r="DL96" i="3"/>
  <c r="DH91" i="3"/>
  <c r="DI91" i="3" s="1"/>
  <c r="EG60" i="3"/>
  <c r="DW60" i="3"/>
  <c r="DU60" i="3"/>
  <c r="EJ68" i="3"/>
  <c r="ET68" i="3"/>
  <c r="EK68" i="3"/>
  <c r="EG88" i="3"/>
  <c r="DW88" i="3"/>
  <c r="DL86" i="3"/>
  <c r="DI86" i="3"/>
  <c r="DM86" i="3"/>
  <c r="EM98" i="3"/>
  <c r="DU87" i="3"/>
  <c r="DZ87" i="3" s="1"/>
  <c r="DL87" i="3"/>
  <c r="EX86" i="3"/>
  <c r="EU90" i="3"/>
  <c r="EZ90" i="3" s="1"/>
  <c r="EY76" i="3"/>
  <c r="EJ72" i="3"/>
  <c r="ET72" i="3"/>
  <c r="EH72" i="3"/>
  <c r="EI66" i="3"/>
  <c r="EG70" i="3"/>
  <c r="DW70" i="3"/>
  <c r="DU70" i="3"/>
  <c r="DI88" i="3"/>
  <c r="DW96" i="3"/>
  <c r="DT101" i="3"/>
  <c r="DW101" i="3" s="1"/>
  <c r="EG96" i="3"/>
  <c r="DU96" i="3"/>
  <c r="EG89" i="3"/>
  <c r="DW89" i="3"/>
  <c r="DU89" i="3"/>
  <c r="DX82" i="3"/>
  <c r="ED82" i="3"/>
  <c r="EX64" i="3"/>
  <c r="EU98" i="3"/>
  <c r="EV98" i="3" s="1"/>
  <c r="EM66" i="3"/>
  <c r="EX66" i="3"/>
  <c r="EQ74" i="3"/>
  <c r="EX74" i="3" s="1"/>
  <c r="EK74" i="3"/>
  <c r="DM74" i="3"/>
  <c r="DL74" i="3"/>
  <c r="ET97" i="3"/>
  <c r="EW97" i="3" s="1"/>
  <c r="EH97" i="3"/>
  <c r="EI97" i="3" s="1"/>
  <c r="DZ68" i="3"/>
  <c r="DY68" i="3"/>
  <c r="DY97" i="3"/>
  <c r="DZ97" i="3"/>
  <c r="ER68" i="3"/>
  <c r="EH68" i="3"/>
  <c r="EI68" i="3" s="1"/>
  <c r="EE82" i="3"/>
  <c r="EK80" i="3"/>
  <c r="EQ80" i="3"/>
  <c r="EG74" i="3"/>
  <c r="DU74" i="3"/>
  <c r="DV74" i="3" s="1"/>
  <c r="DY78" i="3"/>
  <c r="DZ78" i="3"/>
  <c r="ET62" i="3"/>
  <c r="EW62" i="3" s="1"/>
  <c r="EH62" i="3"/>
  <c r="EI62" i="3" s="1"/>
  <c r="EG85" i="3"/>
  <c r="EJ85" i="3" s="1"/>
  <c r="DU85" i="3"/>
  <c r="CY103" i="3"/>
  <c r="CV103" i="3"/>
  <c r="CZ103" i="3"/>
  <c r="EG94" i="3"/>
  <c r="DU94" i="3"/>
  <c r="DM85" i="3"/>
  <c r="DI85" i="3"/>
  <c r="DL85" i="3"/>
  <c r="DZ99" i="3"/>
  <c r="DY99" i="3"/>
  <c r="DY62" i="3"/>
  <c r="DZ62" i="3"/>
  <c r="EK87" i="3"/>
  <c r="ER87" i="3"/>
  <c r="ET78" i="3"/>
  <c r="EW78" i="3" s="1"/>
  <c r="EH78" i="3"/>
  <c r="EI78" i="3" s="1"/>
  <c r="DI94" i="3"/>
  <c r="DL94" i="3"/>
  <c r="DM94" i="3"/>
  <c r="ET99" i="3"/>
  <c r="EW99" i="3" s="1"/>
  <c r="EH99" i="3"/>
  <c r="EI99" i="3" s="1"/>
  <c r="EH64" i="3" l="1"/>
  <c r="EI64" i="3" s="1"/>
  <c r="ET64" i="3"/>
  <c r="EW64" i="3" s="1"/>
  <c r="DY64" i="3"/>
  <c r="DZ64" i="3"/>
  <c r="DM91" i="3"/>
  <c r="EX85" i="3"/>
  <c r="EQ91" i="3"/>
  <c r="EG91" i="3"/>
  <c r="DL91" i="3"/>
  <c r="DU91" i="3"/>
  <c r="DV91" i="3" s="1"/>
  <c r="EU66" i="3"/>
  <c r="EZ66" i="3" s="1"/>
  <c r="DU82" i="3"/>
  <c r="DV82" i="3" s="1"/>
  <c r="DY70" i="3"/>
  <c r="DV70" i="3"/>
  <c r="DZ70" i="3"/>
  <c r="DV86" i="3"/>
  <c r="DY86" i="3"/>
  <c r="DZ86" i="3"/>
  <c r="ET88" i="3"/>
  <c r="EJ88" i="3"/>
  <c r="EG103" i="3"/>
  <c r="EJ103" i="3" s="1"/>
  <c r="EJ94" i="3"/>
  <c r="EY90" i="3"/>
  <c r="EW68" i="3"/>
  <c r="ES101" i="3"/>
  <c r="ES103" i="3"/>
  <c r="ED101" i="3"/>
  <c r="ED103" i="3"/>
  <c r="EK103" i="3" s="1"/>
  <c r="EQ96" i="3"/>
  <c r="EK96" i="3"/>
  <c r="DL101" i="3"/>
  <c r="DI101" i="3"/>
  <c r="DX101" i="3"/>
  <c r="DZ60" i="3"/>
  <c r="DY60" i="3"/>
  <c r="DV60" i="3"/>
  <c r="EW80" i="3"/>
  <c r="EU80" i="3"/>
  <c r="EZ80" i="3" s="1"/>
  <c r="ER88" i="3"/>
  <c r="ER91" i="3" s="1"/>
  <c r="EH88" i="3"/>
  <c r="EK88" i="3"/>
  <c r="EK91" i="3" s="1"/>
  <c r="DY88" i="3"/>
  <c r="DZ88" i="3"/>
  <c r="DL82" i="3"/>
  <c r="EG101" i="3"/>
  <c r="EJ101" i="3" s="1"/>
  <c r="EJ96" i="3"/>
  <c r="ET96" i="3"/>
  <c r="EM72" i="3"/>
  <c r="EI72" i="3"/>
  <c r="EL72" i="3"/>
  <c r="DY87" i="3"/>
  <c r="DV87" i="3"/>
  <c r="DV88" i="3"/>
  <c r="EJ87" i="3"/>
  <c r="ET87" i="3"/>
  <c r="EW87" i="3" s="1"/>
  <c r="ET70" i="3"/>
  <c r="EJ70" i="3"/>
  <c r="EH70" i="3"/>
  <c r="ET86" i="3"/>
  <c r="EJ86" i="3"/>
  <c r="EH86" i="3"/>
  <c r="EH87" i="3"/>
  <c r="EI87" i="3" s="1"/>
  <c r="EX68" i="3"/>
  <c r="DM82" i="3"/>
  <c r="EW72" i="3"/>
  <c r="EU72" i="3"/>
  <c r="DZ89" i="3"/>
  <c r="DV89" i="3"/>
  <c r="DY89" i="3"/>
  <c r="EI80" i="3"/>
  <c r="EL80" i="3"/>
  <c r="ET89" i="3"/>
  <c r="EJ89" i="3"/>
  <c r="EH89" i="3"/>
  <c r="DZ96" i="3"/>
  <c r="DU101" i="3"/>
  <c r="DV96" i="3"/>
  <c r="DY96" i="3"/>
  <c r="ET60" i="3"/>
  <c r="EJ60" i="3"/>
  <c r="EH60" i="3"/>
  <c r="DU103" i="3"/>
  <c r="EG82" i="3"/>
  <c r="EJ82" i="3" s="1"/>
  <c r="EJ74" i="3"/>
  <c r="EH96" i="3"/>
  <c r="EZ98" i="3"/>
  <c r="EK82" i="3"/>
  <c r="EQ82" i="3"/>
  <c r="EY98" i="3"/>
  <c r="EU68" i="3"/>
  <c r="EV68" i="3" s="1"/>
  <c r="ER82" i="3"/>
  <c r="ET74" i="3"/>
  <c r="EH74" i="3"/>
  <c r="EI74" i="3" s="1"/>
  <c r="EM68" i="3"/>
  <c r="DZ74" i="3"/>
  <c r="DY74" i="3"/>
  <c r="EU97" i="3"/>
  <c r="EV97" i="3" s="1"/>
  <c r="EX80" i="3"/>
  <c r="EL97" i="3"/>
  <c r="EM97" i="3"/>
  <c r="EL68" i="3"/>
  <c r="DL103" i="3"/>
  <c r="DI103" i="3"/>
  <c r="DM103" i="3"/>
  <c r="EH94" i="3"/>
  <c r="ET94" i="3"/>
  <c r="EU62" i="3"/>
  <c r="EV62" i="3" s="1"/>
  <c r="EL99" i="3"/>
  <c r="EM99" i="3"/>
  <c r="EL78" i="3"/>
  <c r="EM78" i="3"/>
  <c r="EX87" i="3"/>
  <c r="ET85" i="3"/>
  <c r="EW85" i="3" s="1"/>
  <c r="EH85" i="3"/>
  <c r="DZ85" i="3"/>
  <c r="DY85" i="3"/>
  <c r="DV85" i="3"/>
  <c r="EL62" i="3"/>
  <c r="EM62" i="3"/>
  <c r="EU99" i="3"/>
  <c r="EV99" i="3" s="1"/>
  <c r="EU78" i="3"/>
  <c r="EV78" i="3" s="1"/>
  <c r="DY94" i="3"/>
  <c r="DV94" i="3"/>
  <c r="DZ94" i="3"/>
  <c r="EU64" i="3" l="1"/>
  <c r="EV64" i="3" s="1"/>
  <c r="EL64" i="3"/>
  <c r="EM64" i="3"/>
  <c r="ET91" i="3"/>
  <c r="EW91" i="3" s="1"/>
  <c r="EH91" i="3"/>
  <c r="EI91" i="3" s="1"/>
  <c r="DY91" i="3"/>
  <c r="DZ91" i="3"/>
  <c r="EX82" i="3"/>
  <c r="EV66" i="3"/>
  <c r="EU87" i="3"/>
  <c r="EV87" i="3" s="1"/>
  <c r="EH103" i="3"/>
  <c r="EY66" i="3"/>
  <c r="EL87" i="3"/>
  <c r="EM87" i="3"/>
  <c r="EJ91" i="3"/>
  <c r="DY82" i="3"/>
  <c r="DZ82" i="3"/>
  <c r="EH82" i="3"/>
  <c r="EI82" i="3" s="1"/>
  <c r="EL86" i="3"/>
  <c r="EI86" i="3"/>
  <c r="EM86" i="3"/>
  <c r="EW94" i="3"/>
  <c r="ET103" i="3"/>
  <c r="EW103" i="3" s="1"/>
  <c r="EZ72" i="3"/>
  <c r="EV72" i="3"/>
  <c r="EY72" i="3"/>
  <c r="EW96" i="3"/>
  <c r="ET101" i="3"/>
  <c r="EW101" i="3" s="1"/>
  <c r="EU96" i="3"/>
  <c r="EK101" i="3"/>
  <c r="EW88" i="3"/>
  <c r="DV101" i="3"/>
  <c r="DY101" i="3"/>
  <c r="ET82" i="3"/>
  <c r="EW82" i="3" s="1"/>
  <c r="EW74" i="3"/>
  <c r="EM89" i="3"/>
  <c r="EI89" i="3"/>
  <c r="EL89" i="3"/>
  <c r="EV80" i="3"/>
  <c r="EY80" i="3"/>
  <c r="EW89" i="3"/>
  <c r="EU89" i="3"/>
  <c r="EL88" i="3"/>
  <c r="EM88" i="3"/>
  <c r="EW86" i="3"/>
  <c r="EU86" i="3"/>
  <c r="EM60" i="3"/>
  <c r="EI60" i="3"/>
  <c r="EL60" i="3"/>
  <c r="EM70" i="3"/>
  <c r="EL70" i="3"/>
  <c r="EI70" i="3"/>
  <c r="EM96" i="3"/>
  <c r="EH101" i="3"/>
  <c r="EM101" i="3" s="1"/>
  <c r="EI96" i="3"/>
  <c r="EL96" i="3"/>
  <c r="EW60" i="3"/>
  <c r="EU60" i="3"/>
  <c r="EW70" i="3"/>
  <c r="EU70" i="3"/>
  <c r="EQ101" i="3"/>
  <c r="EQ103" i="3"/>
  <c r="EX103" i="3" s="1"/>
  <c r="EX96" i="3"/>
  <c r="DZ101" i="3"/>
  <c r="EU88" i="3"/>
  <c r="EX88" i="3"/>
  <c r="EX91" i="3" s="1"/>
  <c r="EI88" i="3"/>
  <c r="EU74" i="3"/>
  <c r="EV74" i="3" s="1"/>
  <c r="EM74" i="3"/>
  <c r="EL74" i="3"/>
  <c r="EZ68" i="3"/>
  <c r="EY68" i="3"/>
  <c r="EZ97" i="3"/>
  <c r="EY97" i="3"/>
  <c r="EU94" i="3"/>
  <c r="EL94" i="3"/>
  <c r="EI94" i="3"/>
  <c r="EM94" i="3"/>
  <c r="EU85" i="3"/>
  <c r="EY62" i="3"/>
  <c r="EZ62" i="3"/>
  <c r="EY99" i="3"/>
  <c r="EZ99" i="3"/>
  <c r="EY78" i="3"/>
  <c r="EZ78" i="3"/>
  <c r="DY103" i="3"/>
  <c r="DV103" i="3"/>
  <c r="DZ103" i="3"/>
  <c r="EM85" i="3"/>
  <c r="EI85" i="3"/>
  <c r="EL85" i="3"/>
  <c r="EY64" i="3" l="1"/>
  <c r="EZ64" i="3"/>
  <c r="EM91" i="3"/>
  <c r="EL91" i="3"/>
  <c r="EZ88" i="3"/>
  <c r="EU91" i="3"/>
  <c r="EV91" i="3" s="1"/>
  <c r="EZ87" i="3"/>
  <c r="EY87" i="3"/>
  <c r="EY88" i="3"/>
  <c r="EU82" i="3"/>
  <c r="EV82" i="3" s="1"/>
  <c r="EM82" i="3"/>
  <c r="EL82" i="3"/>
  <c r="EU103" i="3"/>
  <c r="EZ70" i="3"/>
  <c r="EY70" i="3"/>
  <c r="EV70" i="3"/>
  <c r="EI101" i="3"/>
  <c r="EL101" i="3"/>
  <c r="EV86" i="3"/>
  <c r="EY86" i="3"/>
  <c r="EZ86" i="3"/>
  <c r="EV88" i="3"/>
  <c r="EZ89" i="3"/>
  <c r="EV89" i="3"/>
  <c r="EY89" i="3"/>
  <c r="EX101" i="3"/>
  <c r="EZ60" i="3"/>
  <c r="EV60" i="3"/>
  <c r="EY60" i="3"/>
  <c r="EZ96" i="3"/>
  <c r="EU101" i="3"/>
  <c r="EZ101" i="3" s="1"/>
  <c r="EV96" i="3"/>
  <c r="EY96" i="3"/>
  <c r="EZ74" i="3"/>
  <c r="EY74" i="3"/>
  <c r="EY94" i="3"/>
  <c r="EV94" i="3"/>
  <c r="EZ94" i="3"/>
  <c r="EL103" i="3"/>
  <c r="EI103" i="3"/>
  <c r="EM103" i="3"/>
  <c r="EZ85" i="3"/>
  <c r="EY85" i="3"/>
  <c r="EV85" i="3"/>
  <c r="EZ91" i="3" l="1"/>
  <c r="EY91" i="3"/>
  <c r="EZ82" i="3"/>
  <c r="EV101" i="3"/>
  <c r="EY101" i="3"/>
  <c r="EY82" i="3"/>
  <c r="EY103" i="3"/>
  <c r="EV103" i="3"/>
  <c r="EZ10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Linnea K. Berg</author>
    <author>Clifford,Alex</author>
  </authors>
  <commentList>
    <comment ref="D4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1" shapeId="0" xr:uid="{00000000-0006-0000-0700-000003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I4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1" shapeId="0" xr:uid="{00000000-0006-0000-0700-000005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M4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P4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T4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4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4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Y4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4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C4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F4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J4" authorId="0" shapeId="0" xr:uid="{00000000-0006-0000-0700-00000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4" authorId="0" shapeId="0" xr:uid="{00000000-0006-0000-0700-00001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AO4" authorId="0" shapeId="0" xr:uid="{00000000-0006-0000-0700-000012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4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S4" authorId="0" shapeId="0" xr:uid="{00000000-0006-0000-0700-000014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V4" authorId="0" shapeId="0" xr:uid="{00000000-0006-0000-0700-000015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Z4" authorId="0" shapeId="0" xr:uid="{00000000-0006-0000-0700-00001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4" authorId="0" shapeId="0" xr:uid="{00000000-0006-0000-0700-000017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C4" authorId="1" shapeId="0" xr:uid="{00000000-0006-0000-0700-000018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H4" authorId="0" shapeId="0" xr:uid="{00000000-0006-0000-0700-000019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K4" authorId="0" shapeId="0" xr:uid="{00000000-0006-0000-0700-00001A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BO4" authorId="0" shapeId="0" xr:uid="{00000000-0006-0000-0700-00001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P4" authorId="0" shapeId="0" xr:uid="{00000000-0006-0000-0700-00001C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R4" authorId="1" shapeId="0" xr:uid="{00000000-0006-0000-0700-00001D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W4" authorId="0" shapeId="0" xr:uid="{00000000-0006-0000-0700-00001E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Z4" authorId="0" shapeId="0" xr:uid="{00000000-0006-0000-0700-00001F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D4" authorId="0" shapeId="0" xr:uid="{00000000-0006-0000-0700-00002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4" authorId="0" shapeId="0" xr:uid="{00000000-0006-0000-0700-00002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G4" authorId="1" shapeId="0" xr:uid="{00000000-0006-0000-0700-000022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L4" authorId="0" shapeId="0" xr:uid="{00000000-0006-0000-0700-000023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CO4" authorId="0" shapeId="0" xr:uid="{00000000-0006-0000-0700-000024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S4" authorId="0" shapeId="0" xr:uid="{00000000-0006-0000-0700-00002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T4" authorId="0" shapeId="0" xr:uid="{00000000-0006-0000-0700-00002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V4" authorId="1" shapeId="0" xr:uid="{00000000-0006-0000-0700-000027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DA4" authorId="0" shapeId="0" xr:uid="{00000000-0006-0000-0700-000028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D4" authorId="0" shapeId="0" xr:uid="{00000000-0006-0000-0700-000029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H4" authorId="0" shapeId="0" xr:uid="{00000000-0006-0000-0700-00002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I4" authorId="0" shapeId="0" xr:uid="{00000000-0006-0000-0700-00002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4" authorId="1" shapeId="0" xr:uid="{00000000-0006-0000-0700-00002C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DP4" authorId="0" shapeId="0" xr:uid="{00000000-0006-0000-0700-00002D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S4" authorId="0" shapeId="0" xr:uid="{00000000-0006-0000-0700-00002E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W4" authorId="0" shapeId="0" xr:uid="{00000000-0006-0000-0700-00002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X4" authorId="0" shapeId="0" xr:uid="{00000000-0006-0000-0700-00003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4" authorId="1" shapeId="0" xr:uid="{00000000-0006-0000-0700-000031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E4" authorId="0" shapeId="0" xr:uid="{00000000-0006-0000-0700-000032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H4" authorId="0" shapeId="0" xr:uid="{00000000-0006-0000-0700-000033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EL4" authorId="0" shapeId="0" xr:uid="{00000000-0006-0000-0700-000034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M4" authorId="0" shapeId="0" xr:uid="{00000000-0006-0000-0700-00003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O4" authorId="1" shapeId="0" xr:uid="{00000000-0006-0000-0700-000036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T4" authorId="0" shapeId="0" xr:uid="{00000000-0006-0000-0700-000037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W4" authorId="0" shapeId="0" xr:uid="{00000000-0006-0000-0700-000038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A4" authorId="0" shapeId="0" xr:uid="{00000000-0006-0000-0700-00003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B4" authorId="0" shapeId="0" xr:uid="{00000000-0006-0000-0700-00003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D4" authorId="1" shapeId="0" xr:uid="{00000000-0006-0000-0700-00003B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I4" authorId="0" shapeId="0" xr:uid="{00000000-0006-0000-0700-00003C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FL4" authorId="0" shapeId="0" xr:uid="{00000000-0006-0000-0700-00003D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P4" authorId="0" shapeId="0" xr:uid="{00000000-0006-0000-0700-00003E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Q4" authorId="0" shapeId="0" xr:uid="{00000000-0006-0000-0700-00003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S4" authorId="1" shapeId="0" xr:uid="{00000000-0006-0000-0700-000040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X4" authorId="0" shapeId="0" xr:uid="{00000000-0006-0000-0700-000041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GA4" authorId="0" shapeId="0" xr:uid="{00000000-0006-0000-0700-000042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53" authorId="0" shapeId="0" xr:uid="{00000000-0006-0000-0700-000043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" authorId="0" shapeId="0" xr:uid="{00000000-0006-0000-0700-000044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3" authorId="1" shapeId="0" xr:uid="{00000000-0006-0000-0700-000045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I53" authorId="0" shapeId="0" xr:uid="{00000000-0006-0000-0700-000046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3" authorId="1" shapeId="0" xr:uid="{00000000-0006-0000-0700-000047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M53" authorId="0" shapeId="0" xr:uid="{00000000-0006-0000-0700-000048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P53" authorId="0" shapeId="0" xr:uid="{00000000-0006-0000-0700-000049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T53" authorId="0" shapeId="0" xr:uid="{00000000-0006-0000-0700-00004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53" authorId="0" shapeId="0" xr:uid="{00000000-0006-0000-0700-00004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53" authorId="1" shapeId="0" xr:uid="{00000000-0006-0000-0700-00004C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Y53" authorId="0" shapeId="0" xr:uid="{00000000-0006-0000-0700-00004D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53" authorId="1" shapeId="0" xr:uid="{00000000-0006-0000-0700-00004E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C53" authorId="0" shapeId="0" xr:uid="{00000000-0006-0000-0700-00004F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F53" authorId="0" shapeId="0" xr:uid="{00000000-0006-0000-0700-000050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J53" authorId="0" shapeId="0" xr:uid="{00000000-0006-0000-0700-00005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53" authorId="0" shapeId="0" xr:uid="{00000000-0006-0000-0700-00005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53" authorId="1" shapeId="0" xr:uid="{00000000-0006-0000-0700-000053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AO53" authorId="0" shapeId="0" xr:uid="{00000000-0006-0000-0700-000054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53" authorId="1" shapeId="0" xr:uid="{00000000-0006-0000-0700-000055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S53" authorId="0" shapeId="0" xr:uid="{00000000-0006-0000-0700-000056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V53" authorId="0" shapeId="0" xr:uid="{00000000-0006-0000-0700-000057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Z53" authorId="0" shapeId="0" xr:uid="{00000000-0006-0000-0700-000058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53" authorId="0" shapeId="0" xr:uid="{00000000-0006-0000-0700-00005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C53" authorId="1" shapeId="0" xr:uid="{00000000-0006-0000-0700-00005A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E53" authorId="0" shapeId="0" xr:uid="{00000000-0006-0000-0700-00005B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H53" authorId="0" shapeId="0" xr:uid="{00000000-0006-0000-0700-00005C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K53" authorId="0" shapeId="0" xr:uid="{00000000-0006-0000-0700-00005D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BO53" authorId="0" shapeId="0" xr:uid="{00000000-0006-0000-0700-00005E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P53" authorId="0" shapeId="0" xr:uid="{00000000-0006-0000-0700-00005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R53" authorId="1" shapeId="0" xr:uid="{00000000-0006-0000-0700-000060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BT53" authorId="0" shapeId="0" xr:uid="{00000000-0006-0000-0700-000061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W53" authorId="0" shapeId="0" xr:uid="{00000000-0006-0000-0700-000062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BZ53" authorId="0" shapeId="0" xr:uid="{00000000-0006-0000-0700-000063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D53" authorId="0" shapeId="0" xr:uid="{00000000-0006-0000-0700-000064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53" authorId="0" shapeId="0" xr:uid="{00000000-0006-0000-0700-00006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G53" authorId="1" shapeId="0" xr:uid="{00000000-0006-0000-0700-000066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I53" authorId="0" shapeId="0" xr:uid="{00000000-0006-0000-0700-000067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L53" authorId="0" shapeId="0" xr:uid="{00000000-0006-0000-0700-000068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CO53" authorId="0" shapeId="0" xr:uid="{00000000-0006-0000-0700-000069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S53" authorId="0" shapeId="0" xr:uid="{00000000-0006-0000-0700-00006A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T53" authorId="0" shapeId="0" xr:uid="{00000000-0006-0000-0700-00006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V53" authorId="1" shapeId="0" xr:uid="{00000000-0006-0000-0700-00006C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X53" authorId="0" shapeId="0" xr:uid="{00000000-0006-0000-0700-00006D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A53" authorId="0" shapeId="0" xr:uid="{00000000-0006-0000-0700-00006E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D53" authorId="0" shapeId="0" xr:uid="{00000000-0006-0000-0700-00006F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H53" authorId="0" shapeId="0" xr:uid="{00000000-0006-0000-0700-000070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I53" authorId="0" shapeId="0" xr:uid="{00000000-0006-0000-0700-00007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53" authorId="1" shapeId="0" xr:uid="{00000000-0006-0000-0700-000072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DM53" authorId="0" shapeId="0" xr:uid="{00000000-0006-0000-0700-000073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P53" authorId="0" shapeId="0" xr:uid="{00000000-0006-0000-0700-000074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DS53" authorId="0" shapeId="0" xr:uid="{00000000-0006-0000-0700-000075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W53" authorId="0" shapeId="0" xr:uid="{00000000-0006-0000-0700-00007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X53" authorId="0" shapeId="0" xr:uid="{00000000-0006-0000-0700-000077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53" authorId="1" shapeId="0" xr:uid="{00000000-0006-0000-0700-000078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B53" authorId="0" shapeId="0" xr:uid="{00000000-0006-0000-0700-000079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E53" authorId="0" shapeId="0" xr:uid="{00000000-0006-0000-0700-00007A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H53" authorId="0" shapeId="0" xr:uid="{00000000-0006-0000-0700-00007B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EL53" authorId="0" shapeId="0" xr:uid="{00000000-0006-0000-0700-00007C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M53" authorId="0" shapeId="0" xr:uid="{00000000-0006-0000-0700-00007D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O53" authorId="1" shapeId="0" xr:uid="{00000000-0006-0000-0700-00007E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Q53" authorId="0" shapeId="0" xr:uid="{00000000-0006-0000-0700-00007F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T53" authorId="0" shapeId="0" xr:uid="{00000000-0006-0000-0700-000080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W53" authorId="0" shapeId="0" xr:uid="{00000000-0006-0000-0700-000081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A53" authorId="0" shapeId="0" xr:uid="{00000000-0006-0000-0700-00008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B53" authorId="0" shapeId="0" xr:uid="{00000000-0006-0000-0700-000083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D53" authorId="1" shapeId="0" xr:uid="{00000000-0006-0000-0700-000084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F53" authorId="0" shapeId="0" xr:uid="{00000000-0006-0000-0700-000085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I53" authorId="0" shapeId="0" xr:uid="{00000000-0006-0000-0700-000086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FL53" authorId="0" shapeId="0" xr:uid="{00000000-0006-0000-0700-000087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P53" authorId="0" shapeId="0" xr:uid="{00000000-0006-0000-0700-000088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Q53" authorId="0" shapeId="0" xr:uid="{00000000-0006-0000-0700-000089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S53" authorId="1" shapeId="0" xr:uid="{00000000-0006-0000-0700-00008A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U53" authorId="0" shapeId="0" xr:uid="{00000000-0006-0000-0700-00008B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X53" authorId="0" shapeId="0" xr:uid="{00000000-0006-0000-0700-00008C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GA53" authorId="0" shapeId="0" xr:uid="{00000000-0006-0000-0700-00008D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AJ100" authorId="0" shapeId="0" xr:uid="{00000000-0006-0000-0700-00008E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100" authorId="0" shapeId="0" xr:uid="{00000000-0006-0000-0700-00008F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100" authorId="1" shapeId="0" xr:uid="{00000000-0006-0000-0700-000090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AO100" authorId="0" shapeId="0" xr:uid="{00000000-0006-0000-0700-000091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00" authorId="1" shapeId="0" xr:uid="{00000000-0006-0000-0700-000092000000}">
      <text>
        <r>
          <rPr>
            <b/>
            <sz val="8"/>
            <color indexed="81"/>
            <rFont val="Tahoma"/>
            <family val="2"/>
          </rPr>
          <t>Reference Only now.</t>
        </r>
      </text>
    </comment>
    <comment ref="AS100" authorId="0" shapeId="0" xr:uid="{00000000-0006-0000-0700-000093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AV100" authorId="0" shapeId="0" xr:uid="{00000000-0006-0000-0700-000094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CD100" authorId="0" shapeId="0" xr:uid="{00000000-0006-0000-0700-000095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100" authorId="0" shapeId="0" xr:uid="{00000000-0006-0000-0700-000096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G100" authorId="1" shapeId="0" xr:uid="{00000000-0006-0000-0700-000097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CI100" authorId="0" shapeId="0" xr:uid="{00000000-0006-0000-0700-000098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L100" authorId="0" shapeId="0" xr:uid="{00000000-0006-0000-0700-000099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CO100" authorId="0" shapeId="0" xr:uid="{00000000-0006-0000-0700-00009A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DW100" authorId="0" shapeId="0" xr:uid="{00000000-0006-0000-0700-00009B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X100" authorId="0" shapeId="0" xr:uid="{00000000-0006-0000-0700-00009C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100" authorId="1" shapeId="0" xr:uid="{00000000-0006-0000-0700-00009D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EB100" authorId="0" shapeId="0" xr:uid="{00000000-0006-0000-0700-00009E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E100" authorId="0" shapeId="0" xr:uid="{00000000-0006-0000-0700-00009F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EH100" authorId="0" shapeId="0" xr:uid="{00000000-0006-0000-0700-0000A0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  <comment ref="FP100" authorId="0" shapeId="0" xr:uid="{00000000-0006-0000-0700-0000A1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Q100" authorId="0" shapeId="0" xr:uid="{00000000-0006-0000-0700-0000A2000000}">
      <text>
        <r>
          <rPr>
            <b/>
            <sz val="8"/>
            <color indexed="81"/>
            <rFont val="Tahoma"/>
            <family val="2"/>
          </rPr>
          <t>Data comes from Dan Nguyen's file 2 times a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S100" authorId="1" shapeId="0" xr:uid="{00000000-0006-0000-0700-0000A3000000}">
      <text>
        <r>
          <rPr>
            <b/>
            <sz val="8"/>
            <color indexed="81"/>
            <rFont val="Tahoma"/>
            <family val="2"/>
          </rPr>
          <t>Use "In-Service Delay RSH Lost" from George Laun's report</t>
        </r>
      </text>
    </comment>
    <comment ref="FU100" authorId="0" shapeId="0" xr:uid="{00000000-0006-0000-0700-0000A4000000}">
      <text>
        <r>
          <rPr>
            <b/>
            <sz val="8"/>
            <color indexed="81"/>
            <rFont val="Tahoma"/>
            <family val="2"/>
          </rPr>
          <t>Check data pointers -- make sure they sum correct months after copying.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X100" authorId="0" shapeId="0" xr:uid="{00000000-0006-0000-0700-0000A5000000}">
      <text>
        <r>
          <rPr>
            <b/>
            <sz val="8"/>
            <color indexed="81"/>
            <rFont val="Tahoma"/>
            <family val="2"/>
          </rPr>
          <t>Numbers come from Isaac Lim's Line RSH data file 2 times a year.  Rod Goldman reviews.</t>
        </r>
      </text>
    </comment>
    <comment ref="GA100" authorId="0" shapeId="0" xr:uid="{00000000-0006-0000-0700-0000A6000000}">
      <text>
        <r>
          <rPr>
            <b/>
            <sz val="8"/>
            <color indexed="81"/>
            <rFont val="Tahoma"/>
            <family val="2"/>
          </rPr>
          <t xml:space="preserve">Includes unallocated RSH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SHconnection" type="5" refreshedVersion="4" background="1" saveData="1">
    <dbPr connection="Provider=SQLOLEDB.1;Integrated Security=SSPI;Persist Security Info=True;Initial Catalog=Exports;Data Source=mta46;Use Procedure for Prepare=1;Auto Translate=True;Packet Size=4096;Workstation ID=MTA201479;Use Encryption for Data=False;Tag with column collation when possible=False" command="exec EXCEL_RPT_MonthlyRSH"/>
  </connection>
</connections>
</file>

<file path=xl/sharedStrings.xml><?xml version="1.0" encoding="utf-8"?>
<sst xmlns="http://schemas.openxmlformats.org/spreadsheetml/2006/main" count="2419" uniqueCount="190">
  <si>
    <t>hit refresh all</t>
  </si>
  <si>
    <t>celebrate</t>
  </si>
  <si>
    <t>Division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</si>
  <si>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</si>
  <si>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</si>
  <si>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</si>
  <si>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</si>
  <si>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</si>
  <si>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</si>
  <si>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</si>
  <si>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</si>
  <si>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</si>
  <si>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</si>
  <si>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</si>
  <si>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</si>
  <si>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FY19</t>
  </si>
  <si>
    <t>Southland (East)</t>
  </si>
  <si>
    <t>MV (South)</t>
  </si>
  <si>
    <t>Transdev (North)</t>
  </si>
  <si>
    <t>LADOT</t>
  </si>
  <si>
    <t>PVTA</t>
  </si>
  <si>
    <t>Glendale</t>
  </si>
  <si>
    <t>Red Line</t>
  </si>
  <si>
    <t>Blue Line</t>
  </si>
  <si>
    <t>Expo Line</t>
  </si>
  <si>
    <t>Green Line</t>
  </si>
  <si>
    <t>Gold Line</t>
  </si>
  <si>
    <t>date</t>
  </si>
  <si>
    <t>division</t>
  </si>
  <si>
    <t>SRH</t>
  </si>
  <si>
    <t>ots</t>
  </si>
  <si>
    <t>lh</t>
  </si>
  <si>
    <t>bb</t>
  </si>
  <si>
    <t>se</t>
  </si>
  <si>
    <t>fiscalyear</t>
  </si>
  <si>
    <t>Budgeted RH</t>
  </si>
  <si>
    <t>Scheduled Adjusted  RH</t>
  </si>
  <si>
    <t>Added Hours</t>
  </si>
  <si>
    <t>Lost In-Service Hours</t>
  </si>
  <si>
    <t>Actual RH</t>
  </si>
  <si>
    <t>Actual RH to Scheduled RH</t>
  </si>
  <si>
    <t>% RH Cancelled</t>
  </si>
  <si>
    <t>Net Change</t>
  </si>
  <si>
    <t xml:space="preserve">Budgeted – Scheduled </t>
  </si>
  <si>
    <t>Scheduled  – Actual</t>
  </si>
  <si>
    <t>Budget – Actual</t>
  </si>
  <si>
    <t>Div 1</t>
  </si>
  <si>
    <t>Div 2</t>
  </si>
  <si>
    <t>Div 3</t>
  </si>
  <si>
    <t>Div 5</t>
  </si>
  <si>
    <t>Div 7</t>
  </si>
  <si>
    <t>Div 8</t>
  </si>
  <si>
    <t>Div 9</t>
  </si>
  <si>
    <t>Div 10</t>
  </si>
  <si>
    <t>Div 13</t>
  </si>
  <si>
    <t>Div 15</t>
  </si>
  <si>
    <t>Div 18</t>
  </si>
  <si>
    <t>Grand Total</t>
  </si>
  <si>
    <t>Contract Services</t>
  </si>
  <si>
    <t xml:space="preserve"> </t>
  </si>
  <si>
    <t>Southland Transit (East)</t>
  </si>
  <si>
    <t>MV Transit (South)</t>
  </si>
  <si>
    <t>Veolia (North)</t>
  </si>
  <si>
    <r>
      <t>LADOT</t>
    </r>
    <r>
      <rPr>
        <sz val="10"/>
        <rFont val="Arial"/>
        <family val="2"/>
      </rPr>
      <t>***</t>
    </r>
  </si>
  <si>
    <t>LADOT*****</t>
  </si>
  <si>
    <r>
      <t>PVPTA (225/226)</t>
    </r>
    <r>
      <rPr>
        <sz val="10"/>
        <rFont val="Arial"/>
        <family val="2"/>
      </rPr>
      <t>***</t>
    </r>
  </si>
  <si>
    <t>PVPTA (225/226)*****</t>
  </si>
  <si>
    <t>City of Glendale</t>
  </si>
  <si>
    <t xml:space="preserve">*****  LADOT reported 11/2014.  PVPTA reported 2/2015.  </t>
  </si>
  <si>
    <t xml:space="preserve">*****  LADOT reported 2/2015.  PVPTA reported 2/2015.  </t>
  </si>
  <si>
    <t xml:space="preserve">*****  LADOT reported 3/2015.  PVPTA has not reported.  </t>
  </si>
  <si>
    <t xml:space="preserve">*****  LADOT reported 4/2015.  PVPTA has not reported.  </t>
  </si>
  <si>
    <t xml:space="preserve">*****  LADOT and PVPTA have not reported.  </t>
  </si>
  <si>
    <t>Metro Rail</t>
  </si>
  <si>
    <t>Light Rail</t>
  </si>
  <si>
    <t>Plan – Actual</t>
  </si>
  <si>
    <t>Budgeted Numbers Corrected</t>
  </si>
  <si>
    <t>MRL</t>
  </si>
  <si>
    <t>MBL</t>
  </si>
  <si>
    <t>Expo</t>
  </si>
  <si>
    <t>MGrL</t>
  </si>
  <si>
    <t>MGoL</t>
  </si>
  <si>
    <t>System-wide</t>
  </si>
  <si>
    <t>% Lost RSH</t>
  </si>
  <si>
    <t>% of Scheduled Service Hours Delivered</t>
  </si>
  <si>
    <t>FY &amp; Quarterly Totals - % Lost RSH</t>
  </si>
  <si>
    <t>FY &amp; Quarterly Totals - % of Schedule Hours Delivered</t>
  </si>
  <si>
    <t>YTD % of Scheduled Hours Lost</t>
  </si>
  <si>
    <t>YTD % of Scheduled Hours Delivered</t>
  </si>
  <si>
    <t>RH</t>
  </si>
  <si>
    <t>Date</t>
  </si>
  <si>
    <t>Sched</t>
  </si>
  <si>
    <t>Lost</t>
  </si>
  <si>
    <t>YTD</t>
  </si>
  <si>
    <t>Quarterly Totals - % Lost RSH</t>
  </si>
  <si>
    <t xml:space="preserve"> Quarterly Totals - % of Schedule Hours Delivered</t>
  </si>
  <si>
    <t>FY03-Q1</t>
  </si>
  <si>
    <t>FY03-Q2</t>
  </si>
  <si>
    <t>FY03-Q3</t>
  </si>
  <si>
    <t>FY03-Q4</t>
  </si>
  <si>
    <t>Bus Bridge Hours</t>
  </si>
  <si>
    <t>Special Event Hours</t>
  </si>
  <si>
    <t>Div 6</t>
  </si>
  <si>
    <t>Total</t>
  </si>
  <si>
    <t>Bus Bridge and Special Event Hours are included in Scheduled Adjusted Revenue Hours</t>
  </si>
  <si>
    <t>Glossary</t>
  </si>
  <si>
    <t>Budgeted Revenue Hours</t>
  </si>
  <si>
    <t>Definition</t>
  </si>
  <si>
    <t>Number of revenue hours to be operated as published in the adopted budget per OMB.</t>
  </si>
  <si>
    <t>Source</t>
  </si>
  <si>
    <t>Budget Department</t>
  </si>
  <si>
    <t>Scheduled Revenue Hours</t>
  </si>
  <si>
    <t>Number of revenue hours scheduled to be operated.</t>
  </si>
  <si>
    <t>Source BusDO</t>
  </si>
  <si>
    <t>Hastus Scheduled Revenue Vehicle Hours</t>
  </si>
  <si>
    <t>Source BusPT</t>
  </si>
  <si>
    <t>Report from Contractors</t>
  </si>
  <si>
    <t>Source Rail</t>
  </si>
  <si>
    <t>Report from Schedule Makers</t>
  </si>
  <si>
    <t>Hours delivered which are in addition to scheduled amount (i.e. missed car cuts, traffic, detours..       )</t>
  </si>
  <si>
    <t>Hastus Daily: OTSlip Hours</t>
  </si>
  <si>
    <t>-</t>
  </si>
  <si>
    <t>M3: Hours added due to missed car cuts</t>
  </si>
  <si>
    <t xml:space="preserve">Number of revenue hours that are unplanned and cancel service  due to interruptions such as break downs or lack of operators. </t>
  </si>
  <si>
    <t>ATMS Incidents</t>
  </si>
  <si>
    <t>Report from Contractors (Scheduled Hours minus Actual Hours)</t>
  </si>
  <si>
    <t>M3: Rail Incidents Incidents</t>
  </si>
  <si>
    <t>Actual Revenue Hours</t>
  </si>
  <si>
    <t>The time when a vehicle was available to the general public to carry passengers. Revenue service includes running time and layover/recovery time. It excludes school bus service and charter services and hours spent traveling to and from storage facilities and during other non-service travel.</t>
  </si>
  <si>
    <t>Scheduled Revenue Hours + Added Hours - Lost In-Service Hours</t>
  </si>
  <si>
    <t>Sector/Div</t>
  </si>
  <si>
    <t>Sch RSH</t>
  </si>
  <si>
    <t>Temp RSH</t>
  </si>
  <si>
    <r>
      <t xml:space="preserve">Temp </t>
    </r>
    <r>
      <rPr>
        <sz val="10"/>
        <color indexed="10"/>
        <rFont val="Arial"/>
        <family val="2"/>
      </rPr>
      <t>Bowl</t>
    </r>
    <r>
      <rPr>
        <sz val="10"/>
        <rFont val="Arial"/>
        <family val="2"/>
      </rPr>
      <t xml:space="preserve">/ </t>
    </r>
    <r>
      <rPr>
        <sz val="10"/>
        <color indexed="12"/>
        <rFont val="Arial"/>
        <family val="2"/>
      </rPr>
      <t>Race</t>
    </r>
    <r>
      <rPr>
        <sz val="10"/>
        <color indexed="8"/>
        <rFont val="Arial"/>
        <family val="2"/>
      </rPr>
      <t xml:space="preserve"> RSH*</t>
    </r>
  </si>
  <si>
    <t>LOST RSH</t>
  </si>
  <si>
    <t>Recovered</t>
  </si>
  <si>
    <t>Actual RSH</t>
  </si>
  <si>
    <t>TOT RSH</t>
  </si>
  <si>
    <t>% LOST of Sch RSH</t>
  </si>
  <si>
    <t>% Delivered of Sch RSH</t>
  </si>
  <si>
    <t>Sch. Budgeted RSH</t>
  </si>
  <si>
    <t>Unallocated Budgeted RSH</t>
  </si>
  <si>
    <t>Diff_ Bud-Act</t>
  </si>
  <si>
    <t>Diff_Bud+ Unal-Act</t>
  </si>
  <si>
    <t>Sector/ Div</t>
  </si>
  <si>
    <t>Sec_Div</t>
  </si>
  <si>
    <t>SFV</t>
  </si>
  <si>
    <t>08 Total</t>
  </si>
  <si>
    <t>15 Total</t>
  </si>
  <si>
    <t>SGV</t>
  </si>
  <si>
    <t>03 Total</t>
  </si>
  <si>
    <t>09 Total</t>
  </si>
  <si>
    <t>GC</t>
  </si>
  <si>
    <t>01 Total</t>
  </si>
  <si>
    <t>02 Total</t>
  </si>
  <si>
    <t>SB</t>
  </si>
  <si>
    <t>05 Total</t>
  </si>
  <si>
    <t>18 Total</t>
  </si>
  <si>
    <t>WC</t>
  </si>
  <si>
    <t>06 Total</t>
  </si>
  <si>
    <t>07 Total</t>
  </si>
  <si>
    <t>10 Total</t>
  </si>
  <si>
    <t>First Transit</t>
  </si>
  <si>
    <t>Coach</t>
  </si>
  <si>
    <t>TCI</t>
  </si>
  <si>
    <t>MV Transit</t>
  </si>
  <si>
    <t>City of Norwalk</t>
  </si>
  <si>
    <t>TCI --Greenline</t>
  </si>
  <si>
    <t>Glendale Bee</t>
  </si>
  <si>
    <t>R.B.Wave (Sat)</t>
  </si>
  <si>
    <t>MGL</t>
  </si>
  <si>
    <t>FY03 YTD</t>
  </si>
  <si>
    <t>July-02 YTD</t>
  </si>
  <si>
    <t>Aug-02 YTD</t>
  </si>
  <si>
    <t>Sep-02 YTD</t>
  </si>
  <si>
    <t>Oct-02 YTD</t>
  </si>
  <si>
    <t>Nov-02 YTD</t>
  </si>
  <si>
    <t>Dec-02 YTD</t>
  </si>
  <si>
    <t>Jan-03 YTD</t>
  </si>
  <si>
    <t>Feb-03 YTD</t>
  </si>
  <si>
    <t>Mar-03 YTD</t>
  </si>
  <si>
    <t>Apr-03 YTD</t>
  </si>
  <si>
    <t>May-03 YTD</t>
  </si>
  <si>
    <t>Jun 03 YTD</t>
  </si>
  <si>
    <t>Sort Keys</t>
  </si>
  <si>
    <t>Q1 FY03</t>
  </si>
  <si>
    <t>Q2 FY03</t>
  </si>
  <si>
    <t>Q3 FY03</t>
  </si>
  <si>
    <t>Q4 FY03</t>
  </si>
  <si>
    <r>
      <t xml:space="preserve">Temp </t>
    </r>
    <r>
      <rPr>
        <sz val="10"/>
        <color indexed="10"/>
        <rFont val="Arial"/>
        <family val="2"/>
      </rPr>
      <t>Bowl</t>
    </r>
    <r>
      <rPr>
        <sz val="10"/>
        <rFont val="Arial"/>
        <family val="2"/>
      </rPr>
      <t xml:space="preserve">/ </t>
    </r>
    <r>
      <rPr>
        <sz val="10"/>
        <color indexed="12"/>
        <rFont val="Arial"/>
        <family val="2"/>
      </rPr>
      <t>Race</t>
    </r>
    <r>
      <rPr>
        <sz val="10"/>
        <color indexed="8"/>
        <rFont val="Arial"/>
        <family val="2"/>
      </rPr>
      <t xml:space="preserve"> RSH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</si>
</sst>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%"/>
    <numFmt numFmtId="167" formatCode="0.0"/>
    <numFmt numFmtId="168" formatCode="#,##0.0"/>
    <numFmt numFmtId="169" formatCode="0.00000"/>
    <numFmt numFmtId="170" formatCode="0.000"/>
    <numFmt numFmtId="171" formatCode="_(* #,##0.0_);_(* \(#,##0.0\);_(* &quot;-&quot;?_);_(@_)"/>
    <numFmt numFmtId="172" formatCode="_(* #,##0.0000_);_(* \(#,##0.0000\);_(* &quot;-&quot;??_);_(@_)"/>
    <numFmt numFmtId="173" formatCode="_(* #,##0.00000_);_(* \(#,##0.00000\);_(* &quot;-&quot;??_);_(@_)"/>
    <numFmt numFmtId="174" formatCode="00"/>
    <numFmt numFmtId="175" formatCode="_(* #,##0.0_);_(* \(#,##0.0\);_(* &quot;-&quot;???_);_(@_)"/>
    <numFmt numFmtId="176" formatCode="0.0_);[Red]\(0.0\)"/>
    <numFmt numFmtId="177" formatCode="_(* #,##0_);_(* \(#,##0\);_(* &quot;-&quot;?_);_(@_)"/>
    <numFmt numFmtId="178" formatCode="_(* #,##0_);_(* \(#,##0\);_(* &quot;-&quot;???_);_(@_)"/>
    <numFmt numFmtId="179" formatCode="00.00"/>
    <numFmt numFmtId="180" formatCode="_(* #,##0.00_);_(* \(#,##0.00\);_(* &quot;-&quot;?_);_(@_)"/>
    <numFmt numFmtId="181" formatCode="_(* #,##0.00_);_(* \(#,##0.00\);_(* &quot;-&quot;_);_(@_)"/>
    <numFmt numFmtId="182" formatCode="0_);[Red]\(0\)"/>
    <numFmt numFmtId="183" formatCode="mmmm\-yy"/>
    <numFmt numFmtId="184" formatCode="[$-409]mmmm\-yy;@"/>
    <numFmt numFmtId="185" formatCode="&quot;$&quot;#,##0\ ;\(&quot;$&quot;#,##0\)"/>
    <numFmt numFmtId="186" formatCode="[$-409]mmm\-yy;@"/>
    <numFmt numFmtId="187" formatCode="0_);\(0\)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9"/>
      <name val="Arial Black"/>
      <family val="2"/>
    </font>
    <font>
      <b/>
      <sz val="10"/>
      <color indexed="8"/>
      <name val="Arial Black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9"/>
      <color indexed="17"/>
      <name val="Arial"/>
      <family val="2"/>
    </font>
    <font>
      <b/>
      <sz val="14"/>
      <name val="Arial"/>
      <family val="2"/>
    </font>
    <font>
      <b/>
      <sz val="9"/>
      <color indexed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color indexed="56"/>
      <name val="Cambria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sz val="10"/>
      <color indexed="1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">
    <xf numFmtId="0" fontId="0" fillId="0" borderId="0"/>
    <xf numFmtId="0" fontId="49" fillId="43" borderId="0" applyNumberFormat="0" applyBorder="0" applyAlignment="0" applyProtection="0"/>
    <xf numFmtId="0" fontId="14" fillId="2" borderId="0" applyNumberFormat="0" applyBorder="0" applyAlignment="0" applyProtection="0"/>
    <xf numFmtId="0" fontId="49" fillId="44" borderId="0" applyNumberFormat="0" applyBorder="0" applyAlignment="0" applyProtection="0"/>
    <xf numFmtId="0" fontId="14" fillId="3" borderId="0" applyNumberFormat="0" applyBorder="0" applyAlignment="0" applyProtection="0"/>
    <xf numFmtId="0" fontId="49" fillId="45" borderId="0" applyNumberFormat="0" applyBorder="0" applyAlignment="0" applyProtection="0"/>
    <xf numFmtId="0" fontId="14" fillId="4" borderId="0" applyNumberFormat="0" applyBorder="0" applyAlignment="0" applyProtection="0"/>
    <xf numFmtId="0" fontId="49" fillId="46" borderId="0" applyNumberFormat="0" applyBorder="0" applyAlignment="0" applyProtection="0"/>
    <xf numFmtId="0" fontId="14" fillId="5" borderId="0" applyNumberFormat="0" applyBorder="0" applyAlignment="0" applyProtection="0"/>
    <xf numFmtId="0" fontId="49" fillId="47" borderId="0" applyNumberFormat="0" applyBorder="0" applyAlignment="0" applyProtection="0"/>
    <xf numFmtId="0" fontId="14" fillId="6" borderId="0" applyNumberFormat="0" applyBorder="0" applyAlignment="0" applyProtection="0"/>
    <xf numFmtId="0" fontId="49" fillId="48" borderId="0" applyNumberFormat="0" applyBorder="0" applyAlignment="0" applyProtection="0"/>
    <xf numFmtId="0" fontId="14" fillId="7" borderId="0" applyNumberFormat="0" applyBorder="0" applyAlignment="0" applyProtection="0"/>
    <xf numFmtId="0" fontId="49" fillId="49" borderId="0" applyNumberFormat="0" applyBorder="0" applyAlignment="0" applyProtection="0"/>
    <xf numFmtId="0" fontId="14" fillId="8" borderId="0" applyNumberFormat="0" applyBorder="0" applyAlignment="0" applyProtection="0"/>
    <xf numFmtId="0" fontId="49" fillId="50" borderId="0" applyNumberFormat="0" applyBorder="0" applyAlignment="0" applyProtection="0"/>
    <xf numFmtId="0" fontId="14" fillId="9" borderId="0" applyNumberFormat="0" applyBorder="0" applyAlignment="0" applyProtection="0"/>
    <xf numFmtId="0" fontId="49" fillId="51" borderId="0" applyNumberFormat="0" applyBorder="0" applyAlignment="0" applyProtection="0"/>
    <xf numFmtId="0" fontId="14" fillId="10" borderId="0" applyNumberFormat="0" applyBorder="0" applyAlignment="0" applyProtection="0"/>
    <xf numFmtId="0" fontId="49" fillId="52" borderId="0" applyNumberFormat="0" applyBorder="0" applyAlignment="0" applyProtection="0"/>
    <xf numFmtId="0" fontId="14" fillId="5" borderId="0" applyNumberFormat="0" applyBorder="0" applyAlignment="0" applyProtection="0"/>
    <xf numFmtId="0" fontId="49" fillId="53" borderId="0" applyNumberFormat="0" applyBorder="0" applyAlignment="0" applyProtection="0"/>
    <xf numFmtId="0" fontId="14" fillId="8" borderId="0" applyNumberFormat="0" applyBorder="0" applyAlignment="0" applyProtection="0"/>
    <xf numFmtId="0" fontId="49" fillId="54" borderId="0" applyNumberFormat="0" applyBorder="0" applyAlignment="0" applyProtection="0"/>
    <xf numFmtId="0" fontId="14" fillId="11" borderId="0" applyNumberFormat="0" applyBorder="0" applyAlignment="0" applyProtection="0"/>
    <xf numFmtId="0" fontId="50" fillId="55" borderId="0" applyNumberFormat="0" applyBorder="0" applyAlignment="0" applyProtection="0"/>
    <xf numFmtId="0" fontId="33" fillId="12" borderId="0" applyNumberFormat="0" applyBorder="0" applyAlignment="0" applyProtection="0"/>
    <xf numFmtId="0" fontId="50" fillId="56" borderId="0" applyNumberFormat="0" applyBorder="0" applyAlignment="0" applyProtection="0"/>
    <xf numFmtId="0" fontId="33" fillId="9" borderId="0" applyNumberFormat="0" applyBorder="0" applyAlignment="0" applyProtection="0"/>
    <xf numFmtId="0" fontId="50" fillId="57" borderId="0" applyNumberFormat="0" applyBorder="0" applyAlignment="0" applyProtection="0"/>
    <xf numFmtId="0" fontId="33" fillId="10" borderId="0" applyNumberFormat="0" applyBorder="0" applyAlignment="0" applyProtection="0"/>
    <xf numFmtId="0" fontId="50" fillId="58" borderId="0" applyNumberFormat="0" applyBorder="0" applyAlignment="0" applyProtection="0"/>
    <xf numFmtId="0" fontId="33" fillId="13" borderId="0" applyNumberFormat="0" applyBorder="0" applyAlignment="0" applyProtection="0"/>
    <xf numFmtId="0" fontId="50" fillId="59" borderId="0" applyNumberFormat="0" applyBorder="0" applyAlignment="0" applyProtection="0"/>
    <xf numFmtId="0" fontId="33" fillId="14" borderId="0" applyNumberFormat="0" applyBorder="0" applyAlignment="0" applyProtection="0"/>
    <xf numFmtId="0" fontId="50" fillId="60" borderId="0" applyNumberFormat="0" applyBorder="0" applyAlignment="0" applyProtection="0"/>
    <xf numFmtId="0" fontId="33" fillId="15" borderId="0" applyNumberFormat="0" applyBorder="0" applyAlignment="0" applyProtection="0"/>
    <xf numFmtId="0" fontId="50" fillId="61" borderId="0" applyNumberFormat="0" applyBorder="0" applyAlignment="0" applyProtection="0"/>
    <xf numFmtId="0" fontId="33" fillId="16" borderId="0" applyNumberFormat="0" applyBorder="0" applyAlignment="0" applyProtection="0"/>
    <xf numFmtId="0" fontId="50" fillId="62" borderId="0" applyNumberFormat="0" applyBorder="0" applyAlignment="0" applyProtection="0"/>
    <xf numFmtId="0" fontId="33" fillId="17" borderId="0" applyNumberFormat="0" applyBorder="0" applyAlignment="0" applyProtection="0"/>
    <xf numFmtId="0" fontId="50" fillId="63" borderId="0" applyNumberFormat="0" applyBorder="0" applyAlignment="0" applyProtection="0"/>
    <xf numFmtId="0" fontId="33" fillId="18" borderId="0" applyNumberFormat="0" applyBorder="0" applyAlignment="0" applyProtection="0"/>
    <xf numFmtId="0" fontId="50" fillId="64" borderId="0" applyNumberFormat="0" applyBorder="0" applyAlignment="0" applyProtection="0"/>
    <xf numFmtId="0" fontId="33" fillId="13" borderId="0" applyNumberFormat="0" applyBorder="0" applyAlignment="0" applyProtection="0"/>
    <xf numFmtId="0" fontId="50" fillId="65" borderId="0" applyNumberFormat="0" applyBorder="0" applyAlignment="0" applyProtection="0"/>
    <xf numFmtId="0" fontId="33" fillId="14" borderId="0" applyNumberFormat="0" applyBorder="0" applyAlignment="0" applyProtection="0"/>
    <xf numFmtId="0" fontId="50" fillId="66" borderId="0" applyNumberFormat="0" applyBorder="0" applyAlignment="0" applyProtection="0"/>
    <xf numFmtId="0" fontId="33" fillId="19" borderId="0" applyNumberFormat="0" applyBorder="0" applyAlignment="0" applyProtection="0"/>
    <xf numFmtId="0" fontId="51" fillId="67" borderId="0" applyNumberFormat="0" applyBorder="0" applyAlignment="0" applyProtection="0"/>
    <xf numFmtId="0" fontId="35" fillId="3" borderId="0" applyNumberFormat="0" applyBorder="0" applyAlignment="0" applyProtection="0"/>
    <xf numFmtId="0" fontId="52" fillId="68" borderId="69" applyNumberFormat="0" applyAlignment="0" applyProtection="0"/>
    <xf numFmtId="0" fontId="36" fillId="20" borderId="1" applyNumberFormat="0" applyAlignment="0" applyProtection="0"/>
    <xf numFmtId="0" fontId="53" fillId="69" borderId="70" applyNumberFormat="0" applyAlignment="0" applyProtection="0"/>
    <xf numFmtId="0" fontId="24" fillId="21" borderId="2" applyNumberForma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3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8" fillId="0" borderId="0" applyFont="0" applyFill="0" applyBorder="0" applyAlignment="0" applyProtection="0"/>
    <xf numFmtId="18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" fontId="37" fillId="0" borderId="0" applyFont="0" applyFill="0" applyBorder="0" applyAlignment="0" applyProtection="0"/>
    <xf numFmtId="0" fontId="55" fillId="70" borderId="0" applyNumberFormat="0" applyBorder="0" applyAlignment="0" applyProtection="0"/>
    <xf numFmtId="0" fontId="39" fillId="4" borderId="0" applyNumberFormat="0" applyBorder="0" applyAlignment="0" applyProtection="0"/>
    <xf numFmtId="0" fontId="56" fillId="0" borderId="71" applyNumberFormat="0" applyFill="0" applyAlignment="0" applyProtection="0"/>
    <xf numFmtId="0" fontId="40" fillId="0" borderId="3" applyNumberFormat="0" applyFill="0" applyAlignment="0" applyProtection="0"/>
    <xf numFmtId="0" fontId="57" fillId="0" borderId="72" applyNumberFormat="0" applyFill="0" applyAlignment="0" applyProtection="0"/>
    <xf numFmtId="0" fontId="41" fillId="0" borderId="4" applyNumberFormat="0" applyFill="0" applyAlignment="0" applyProtection="0"/>
    <xf numFmtId="0" fontId="58" fillId="0" borderId="73" applyNumberFormat="0" applyFill="0" applyAlignment="0" applyProtection="0"/>
    <xf numFmtId="0" fontId="42" fillId="0" borderId="5" applyNumberFormat="0" applyFill="0" applyAlignment="0" applyProtection="0"/>
    <xf numFmtId="0" fontId="5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71" borderId="69" applyNumberFormat="0" applyAlignment="0" applyProtection="0"/>
    <xf numFmtId="0" fontId="43" fillId="7" borderId="1" applyNumberFormat="0" applyAlignment="0" applyProtection="0"/>
    <xf numFmtId="0" fontId="60" fillId="0" borderId="74" applyNumberFormat="0" applyFill="0" applyAlignment="0" applyProtection="0"/>
    <xf numFmtId="0" fontId="44" fillId="0" borderId="6" applyNumberFormat="0" applyFill="0" applyAlignment="0" applyProtection="0"/>
    <xf numFmtId="0" fontId="61" fillId="72" borderId="0" applyNumberFormat="0" applyBorder="0" applyAlignment="0" applyProtection="0"/>
    <xf numFmtId="0" fontId="45" fillId="22" borderId="0" applyNumberFormat="0" applyBorder="0" applyAlignment="0" applyProtection="0"/>
    <xf numFmtId="0" fontId="8" fillId="0" borderId="0"/>
    <xf numFmtId="0" fontId="8" fillId="0" borderId="0"/>
    <xf numFmtId="0" fontId="48" fillId="0" borderId="0"/>
    <xf numFmtId="0" fontId="49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8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48" fillId="0" borderId="0"/>
    <xf numFmtId="0" fontId="49" fillId="73" borderId="75" applyNumberFormat="0" applyFont="0" applyAlignment="0" applyProtection="0"/>
    <xf numFmtId="0" fontId="8" fillId="23" borderId="7" applyNumberFormat="0" applyFont="0" applyAlignment="0" applyProtection="0"/>
    <xf numFmtId="0" fontId="62" fillId="68" borderId="76" applyNumberFormat="0" applyAlignment="0" applyProtection="0"/>
    <xf numFmtId="0" fontId="47" fillId="20" borderId="8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4" fillId="0" borderId="77" applyNumberFormat="0" applyFill="0" applyAlignment="0" applyProtection="0"/>
    <xf numFmtId="0" fontId="13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71" fillId="2" borderId="0" applyNumberFormat="0" applyBorder="0" applyAlignment="0" applyProtection="0"/>
    <xf numFmtId="0" fontId="71" fillId="3" borderId="0" applyNumberFormat="0" applyBorder="0" applyAlignment="0" applyProtection="0"/>
    <xf numFmtId="0" fontId="7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3" fillId="3" borderId="0" applyNumberFormat="0" applyBorder="0" applyAlignment="0" applyProtection="0"/>
    <xf numFmtId="0" fontId="74" fillId="20" borderId="1" applyNumberFormat="0" applyAlignment="0" applyProtection="0"/>
    <xf numFmtId="0" fontId="75" fillId="21" borderId="2" applyNumberFormat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4" borderId="0" applyNumberFormat="0" applyBorder="0" applyAlignment="0" applyProtection="0"/>
    <xf numFmtId="0" fontId="78" fillId="0" borderId="3" applyNumberFormat="0" applyFill="0" applyAlignment="0" applyProtection="0"/>
    <xf numFmtId="0" fontId="79" fillId="0" borderId="4" applyNumberFormat="0" applyFill="0" applyAlignment="0" applyProtection="0"/>
    <xf numFmtId="0" fontId="80" fillId="0" borderId="5" applyNumberFormat="0" applyFill="0" applyAlignment="0" applyProtection="0"/>
    <xf numFmtId="0" fontId="80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81" fillId="7" borderId="1" applyNumberFormat="0" applyAlignment="0" applyProtection="0"/>
    <xf numFmtId="0" fontId="82" fillId="0" borderId="6" applyNumberFormat="0" applyFill="0" applyAlignment="0" applyProtection="0"/>
    <xf numFmtId="0" fontId="83" fillId="22" borderId="0" applyNumberFormat="0" applyBorder="0" applyAlignment="0" applyProtection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23" borderId="7" applyNumberFormat="0" applyFont="0" applyAlignment="0" applyProtection="0"/>
    <xf numFmtId="0" fontId="84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5" fillId="0" borderId="9" applyNumberFormat="0" applyFill="0" applyAlignment="0" applyProtection="0"/>
    <xf numFmtId="0" fontId="86" fillId="0" borderId="0" applyNumberFormat="0" applyFill="0" applyBorder="0" applyAlignment="0" applyProtection="0"/>
    <xf numFmtId="0" fontId="2" fillId="0" borderId="0"/>
    <xf numFmtId="0" fontId="2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73" borderId="75" applyNumberFormat="0" applyFont="0" applyAlignment="0" applyProtection="0"/>
    <xf numFmtId="0" fontId="3" fillId="23" borderId="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3" borderId="75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43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1" fillId="50" borderId="0" applyNumberFormat="0" applyBorder="0" applyAlignment="0" applyProtection="0"/>
    <xf numFmtId="0" fontId="1" fillId="45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52" borderId="0" applyNumberFormat="0" applyBorder="0" applyAlignment="0" applyProtection="0"/>
    <xf numFmtId="0" fontId="1" fillId="47" borderId="0" applyNumberFormat="0" applyBorder="0" applyAlignment="0" applyProtection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3" borderId="75" applyNumberFormat="0" applyFont="0" applyAlignment="0" applyProtection="0"/>
    <xf numFmtId="9" fontId="1" fillId="0" borderId="0" applyFont="0" applyFill="0" applyBorder="0" applyAlignment="0" applyProtection="0"/>
  </cellStyleXfs>
  <cellXfs count="1049">
    <xf numFmtId="0" fontId="0" fillId="0" borderId="0" xfId="0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71" fontId="5" fillId="0" borderId="0" xfId="0" applyNumberFormat="1" applyFont="1" applyFill="1" applyBorder="1"/>
    <xf numFmtId="0" fontId="5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168" fontId="7" fillId="0" borderId="0" xfId="0" applyNumberFormat="1" applyFont="1" applyBorder="1" applyAlignment="1">
      <alignment horizontal="right"/>
    </xf>
    <xf numFmtId="167" fontId="7" fillId="0" borderId="0" xfId="0" applyNumberFormat="1" applyFont="1" applyBorder="1"/>
    <xf numFmtId="168" fontId="7" fillId="0" borderId="0" xfId="0" applyNumberFormat="1" applyFont="1" applyBorder="1"/>
    <xf numFmtId="0" fontId="4" fillId="0" borderId="12" xfId="0" applyFont="1" applyBorder="1"/>
    <xf numFmtId="177" fontId="4" fillId="0" borderId="12" xfId="0" applyNumberFormat="1" applyFont="1" applyBorder="1"/>
    <xf numFmtId="177" fontId="4" fillId="0" borderId="13" xfId="0" applyNumberFormat="1" applyFont="1" applyBorder="1"/>
    <xf numFmtId="177" fontId="4" fillId="0" borderId="12" xfId="0" applyNumberFormat="1" applyFont="1" applyFill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" fontId="4" fillId="0" borderId="13" xfId="0" applyNumberFormat="1" applyFont="1" applyBorder="1"/>
    <xf numFmtId="174" fontId="4" fillId="0" borderId="16" xfId="0" applyNumberFormat="1" applyFont="1" applyBorder="1"/>
    <xf numFmtId="174" fontId="4" fillId="0" borderId="0" xfId="0" applyNumberFormat="1" applyFont="1" applyBorder="1"/>
    <xf numFmtId="174" fontId="9" fillId="0" borderId="0" xfId="0" applyNumberFormat="1" applyFont="1" applyBorder="1"/>
    <xf numFmtId="174" fontId="5" fillId="0" borderId="0" xfId="0" applyNumberFormat="1" applyFont="1" applyBorder="1"/>
    <xf numFmtId="41" fontId="4" fillId="0" borderId="0" xfId="0" applyNumberFormat="1" applyFont="1" applyBorder="1"/>
    <xf numFmtId="174" fontId="4" fillId="0" borderId="12" xfId="0" applyNumberFormat="1" applyFont="1" applyBorder="1"/>
    <xf numFmtId="174" fontId="4" fillId="0" borderId="14" xfId="0" applyNumberFormat="1" applyFont="1" applyBorder="1"/>
    <xf numFmtId="1" fontId="4" fillId="0" borderId="15" xfId="0" applyNumberFormat="1" applyFont="1" applyBorder="1"/>
    <xf numFmtId="164" fontId="4" fillId="0" borderId="11" xfId="0" applyNumberFormat="1" applyFont="1" applyBorder="1"/>
    <xf numFmtId="165" fontId="4" fillId="0" borderId="15" xfId="0" applyNumberFormat="1" applyFont="1" applyBorder="1"/>
    <xf numFmtId="1" fontId="4" fillId="0" borderId="12" xfId="0" applyNumberFormat="1" applyFont="1" applyBorder="1"/>
    <xf numFmtId="10" fontId="4" fillId="0" borderId="12" xfId="121" applyNumberFormat="1" applyFont="1" applyBorder="1"/>
    <xf numFmtId="10" fontId="4" fillId="0" borderId="0" xfId="121" applyNumberFormat="1" applyFont="1" applyBorder="1"/>
    <xf numFmtId="167" fontId="4" fillId="0" borderId="10" xfId="0" applyNumberFormat="1" applyFont="1" applyBorder="1"/>
    <xf numFmtId="167" fontId="4" fillId="0" borderId="11" xfId="0" applyNumberFormat="1" applyFont="1" applyBorder="1"/>
    <xf numFmtId="178" fontId="5" fillId="0" borderId="0" xfId="0" applyNumberFormat="1" applyFont="1" applyBorder="1"/>
    <xf numFmtId="178" fontId="12" fillId="0" borderId="0" xfId="0" applyNumberFormat="1" applyFont="1" applyFill="1" applyBorder="1" applyAlignment="1">
      <alignment horizontal="right"/>
    </xf>
    <xf numFmtId="174" fontId="13" fillId="0" borderId="0" xfId="0" applyNumberFormat="1" applyFont="1" applyFill="1" applyBorder="1" applyAlignment="1">
      <alignment horizontal="right"/>
    </xf>
    <xf numFmtId="178" fontId="7" fillId="0" borderId="0" xfId="0" applyNumberFormat="1" applyFont="1" applyFill="1" applyBorder="1" applyAlignment="1">
      <alignment horizontal="right"/>
    </xf>
    <xf numFmtId="178" fontId="13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67" fontId="4" fillId="0" borderId="15" xfId="0" applyNumberFormat="1" applyFont="1" applyBorder="1"/>
    <xf numFmtId="165" fontId="4" fillId="0" borderId="17" xfId="0" applyNumberFormat="1" applyFont="1" applyBorder="1"/>
    <xf numFmtId="165" fontId="4" fillId="0" borderId="16" xfId="0" applyNumberFormat="1" applyFont="1" applyBorder="1"/>
    <xf numFmtId="167" fontId="4" fillId="0" borderId="0" xfId="0" applyNumberFormat="1" applyFont="1" applyBorder="1"/>
    <xf numFmtId="164" fontId="4" fillId="0" borderId="17" xfId="0" applyNumberFormat="1" applyFont="1" applyBorder="1"/>
    <xf numFmtId="174" fontId="14" fillId="0" borderId="0" xfId="0" applyNumberFormat="1" applyFont="1" applyFill="1" applyAlignment="1">
      <alignment horizontal="right"/>
    </xf>
    <xf numFmtId="174" fontId="13" fillId="0" borderId="0" xfId="0" applyNumberFormat="1" applyFont="1" applyFill="1" applyAlignment="1">
      <alignment horizontal="right"/>
    </xf>
    <xf numFmtId="165" fontId="4" fillId="0" borderId="18" xfId="0" applyNumberFormat="1" applyFont="1" applyBorder="1"/>
    <xf numFmtId="165" fontId="4" fillId="0" borderId="13" xfId="0" applyNumberFormat="1" applyFont="1" applyBorder="1"/>
    <xf numFmtId="164" fontId="4" fillId="0" borderId="18" xfId="0" applyNumberFormat="1" applyFont="1" applyBorder="1"/>
    <xf numFmtId="175" fontId="12" fillId="0" borderId="0" xfId="0" applyNumberFormat="1" applyFont="1" applyFill="1" applyBorder="1" applyAlignment="1">
      <alignment horizontal="right"/>
    </xf>
    <xf numFmtId="175" fontId="7" fillId="0" borderId="0" xfId="0" applyNumberFormat="1" applyFont="1" applyFill="1" applyBorder="1" applyAlignment="1">
      <alignment horizontal="right"/>
    </xf>
    <xf numFmtId="175" fontId="13" fillId="0" borderId="0" xfId="0" applyNumberFormat="1" applyFont="1" applyFill="1" applyBorder="1" applyAlignment="1">
      <alignment horizontal="right"/>
    </xf>
    <xf numFmtId="175" fontId="14" fillId="0" borderId="0" xfId="0" applyNumberFormat="1" applyFont="1" applyFill="1" applyBorder="1" applyAlignment="1">
      <alignment horizontal="right"/>
    </xf>
    <xf numFmtId="175" fontId="9" fillId="0" borderId="0" xfId="0" applyNumberFormat="1" applyFont="1" applyFill="1" applyBorder="1" applyAlignment="1">
      <alignment horizontal="right"/>
    </xf>
    <xf numFmtId="175" fontId="5" fillId="0" borderId="0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168" fontId="7" fillId="0" borderId="0" xfId="0" applyNumberFormat="1" applyFont="1" applyFill="1" applyBorder="1"/>
    <xf numFmtId="167" fontId="7" fillId="0" borderId="0" xfId="0" applyNumberFormat="1" applyFont="1" applyFill="1" applyBorder="1"/>
    <xf numFmtId="1" fontId="4" fillId="0" borderId="0" xfId="0" applyNumberFormat="1" applyFont="1" applyFill="1" applyBorder="1"/>
    <xf numFmtId="166" fontId="4" fillId="0" borderId="0" xfId="0" applyNumberFormat="1" applyFont="1" applyBorder="1" applyAlignment="1">
      <alignment horizontal="left"/>
    </xf>
    <xf numFmtId="0" fontId="4" fillId="24" borderId="0" xfId="0" applyFont="1" applyFill="1" applyBorder="1"/>
    <xf numFmtId="171" fontId="7" fillId="0" borderId="0" xfId="0" applyNumberFormat="1" applyFont="1" applyFill="1" applyBorder="1"/>
    <xf numFmtId="41" fontId="4" fillId="24" borderId="12" xfId="0" applyNumberFormat="1" applyFont="1" applyFill="1" applyBorder="1"/>
    <xf numFmtId="174" fontId="4" fillId="24" borderId="0" xfId="0" applyNumberFormat="1" applyFont="1" applyFill="1" applyBorder="1"/>
    <xf numFmtId="174" fontId="4" fillId="24" borderId="12" xfId="0" applyNumberFormat="1" applyFont="1" applyFill="1" applyBorder="1"/>
    <xf numFmtId="0" fontId="6" fillId="0" borderId="20" xfId="0" applyFont="1" applyBorder="1" applyAlignment="1">
      <alignment horizontal="center" wrapText="1"/>
    </xf>
    <xf numFmtId="171" fontId="5" fillId="0" borderId="0" xfId="0" applyNumberFormat="1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121" applyNumberFormat="1" applyFont="1" applyBorder="1"/>
    <xf numFmtId="0" fontId="4" fillId="0" borderId="21" xfId="0" applyFont="1" applyBorder="1"/>
    <xf numFmtId="164" fontId="4" fillId="0" borderId="22" xfId="0" applyNumberFormat="1" applyFont="1" applyBorder="1"/>
    <xf numFmtId="10" fontId="4" fillId="0" borderId="18" xfId="121" applyNumberFormat="1" applyFont="1" applyBorder="1"/>
    <xf numFmtId="177" fontId="4" fillId="0" borderId="23" xfId="0" applyNumberFormat="1" applyFont="1" applyBorder="1"/>
    <xf numFmtId="177" fontId="4" fillId="0" borderId="0" xfId="0" applyNumberFormat="1" applyFont="1" applyBorder="1"/>
    <xf numFmtId="0" fontId="4" fillId="0" borderId="0" xfId="121" applyNumberFormat="1" applyFont="1" applyBorder="1"/>
    <xf numFmtId="164" fontId="4" fillId="0" borderId="0" xfId="0" applyNumberFormat="1" applyFont="1" applyBorder="1"/>
    <xf numFmtId="164" fontId="4" fillId="0" borderId="24" xfId="0" applyNumberFormat="1" applyFont="1" applyBorder="1"/>
    <xf numFmtId="164" fontId="4" fillId="0" borderId="12" xfId="0" applyNumberFormat="1" applyFont="1" applyBorder="1"/>
    <xf numFmtId="164" fontId="4" fillId="0" borderId="23" xfId="0" applyNumberFormat="1" applyFont="1" applyBorder="1"/>
    <xf numFmtId="165" fontId="4" fillId="0" borderId="25" xfId="0" applyNumberFormat="1" applyFont="1" applyBorder="1"/>
    <xf numFmtId="165" fontId="4" fillId="0" borderId="26" xfId="0" applyNumberFormat="1" applyFont="1" applyBorder="1"/>
    <xf numFmtId="176" fontId="4" fillId="0" borderId="12" xfId="0" applyNumberFormat="1" applyFont="1" applyBorder="1"/>
    <xf numFmtId="177" fontId="4" fillId="25" borderId="12" xfId="0" applyNumberFormat="1" applyFont="1" applyFill="1" applyBorder="1"/>
    <xf numFmtId="177" fontId="4" fillId="25" borderId="23" xfId="0" applyNumberFormat="1" applyFont="1" applyFill="1" applyBorder="1"/>
    <xf numFmtId="180" fontId="4" fillId="0" borderId="12" xfId="0" applyNumberFormat="1" applyFont="1" applyBorder="1"/>
    <xf numFmtId="174" fontId="13" fillId="0" borderId="16" xfId="0" applyNumberFormat="1" applyFont="1" applyFill="1" applyBorder="1" applyAlignment="1">
      <alignment horizontal="right"/>
    </xf>
    <xf numFmtId="174" fontId="4" fillId="0" borderId="13" xfId="0" applyNumberFormat="1" applyFont="1" applyBorder="1"/>
    <xf numFmtId="174" fontId="14" fillId="0" borderId="16" xfId="0" applyNumberFormat="1" applyFont="1" applyFill="1" applyBorder="1" applyAlignment="1">
      <alignment horizontal="right"/>
    </xf>
    <xf numFmtId="0" fontId="8" fillId="0" borderId="0" xfId="0" applyFont="1"/>
    <xf numFmtId="0" fontId="4" fillId="0" borderId="28" xfId="0" applyFont="1" applyFill="1" applyBorder="1" applyAlignment="1">
      <alignment horizontal="center" wrapText="1"/>
    </xf>
    <xf numFmtId="174" fontId="4" fillId="0" borderId="0" xfId="0" applyNumberFormat="1" applyFont="1" applyFill="1" applyBorder="1" applyAlignment="1">
      <alignment horizontal="center"/>
    </xf>
    <xf numFmtId="174" fontId="9" fillId="0" borderId="0" xfId="0" applyNumberFormat="1" applyFont="1" applyFill="1" applyBorder="1" applyAlignment="1">
      <alignment horizontal="center"/>
    </xf>
    <xf numFmtId="174" fontId="4" fillId="0" borderId="16" xfId="0" applyNumberFormat="1" applyFont="1" applyFill="1" applyBorder="1" applyAlignment="1">
      <alignment horizontal="center"/>
    </xf>
    <xf numFmtId="10" fontId="4" fillId="0" borderId="0" xfId="121" applyNumberFormat="1" applyFont="1" applyFill="1" applyBorder="1"/>
    <xf numFmtId="174" fontId="4" fillId="24" borderId="0" xfId="0" applyNumberFormat="1" applyFont="1" applyFill="1" applyBorder="1" applyAlignment="1">
      <alignment horizontal="center"/>
    </xf>
    <xf numFmtId="174" fontId="4" fillId="0" borderId="0" xfId="0" applyNumberFormat="1" applyFont="1" applyFill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41" fontId="4" fillId="24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74" fontId="4" fillId="0" borderId="16" xfId="0" applyNumberFormat="1" applyFont="1" applyFill="1" applyBorder="1" applyAlignment="1">
      <alignment horizontal="right"/>
    </xf>
    <xf numFmtId="174" fontId="14" fillId="0" borderId="0" xfId="0" applyNumberFormat="1" applyFont="1" applyFill="1" applyBorder="1" applyAlignment="1">
      <alignment horizontal="right"/>
    </xf>
    <xf numFmtId="174" fontId="12" fillId="0" borderId="0" xfId="0" applyNumberFormat="1" applyFont="1" applyFill="1" applyBorder="1" applyAlignment="1">
      <alignment horizontal="center"/>
    </xf>
    <xf numFmtId="174" fontId="12" fillId="0" borderId="0" xfId="0" applyNumberFormat="1" applyFont="1" applyFill="1" applyBorder="1" applyAlignment="1">
      <alignment horizontal="right"/>
    </xf>
    <xf numFmtId="41" fontId="4" fillId="24" borderId="0" xfId="0" applyNumberFormat="1" applyFont="1" applyFill="1" applyBorder="1" applyAlignment="1">
      <alignment horizontal="right"/>
    </xf>
    <xf numFmtId="175" fontId="4" fillId="0" borderId="0" xfId="0" applyNumberFormat="1" applyFont="1" applyFill="1" applyBorder="1" applyAlignment="1">
      <alignment horizontal="center"/>
    </xf>
    <xf numFmtId="175" fontId="4" fillId="0" borderId="0" xfId="0" applyNumberFormat="1" applyFont="1" applyFill="1" applyBorder="1" applyAlignment="1">
      <alignment horizontal="right"/>
    </xf>
    <xf numFmtId="174" fontId="4" fillId="0" borderId="13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1" fontId="4" fillId="0" borderId="0" xfId="0" applyNumberFormat="1" applyFont="1" applyFill="1" applyBorder="1"/>
    <xf numFmtId="41" fontId="4" fillId="0" borderId="12" xfId="0" applyNumberFormat="1" applyFont="1" applyBorder="1"/>
    <xf numFmtId="0" fontId="4" fillId="0" borderId="0" xfId="0" applyFont="1" applyFill="1" applyBorder="1" applyAlignment="1">
      <alignment horizontal="center" wrapText="1"/>
    </xf>
    <xf numFmtId="172" fontId="4" fillId="0" borderId="0" xfId="0" applyNumberFormat="1" applyFont="1" applyFill="1" applyBorder="1"/>
    <xf numFmtId="1" fontId="6" fillId="0" borderId="0" xfId="0" applyNumberFormat="1" applyFont="1" applyBorder="1"/>
    <xf numFmtId="2" fontId="6" fillId="0" borderId="0" xfId="0" applyNumberFormat="1" applyFont="1" applyBorder="1"/>
    <xf numFmtId="0" fontId="4" fillId="0" borderId="32" xfId="0" applyFont="1" applyBorder="1"/>
    <xf numFmtId="0" fontId="15" fillId="0" borderId="21" xfId="0" applyFont="1" applyBorder="1"/>
    <xf numFmtId="0" fontId="4" fillId="0" borderId="18" xfId="0" applyFont="1" applyFill="1" applyBorder="1"/>
    <xf numFmtId="180" fontId="4" fillId="0" borderId="23" xfId="0" applyNumberFormat="1" applyFont="1" applyBorder="1"/>
    <xf numFmtId="177" fontId="4" fillId="0" borderId="16" xfId="0" applyNumberFormat="1" applyFont="1" applyBorder="1"/>
    <xf numFmtId="177" fontId="4" fillId="0" borderId="24" xfId="0" applyNumberFormat="1" applyFont="1" applyBorder="1"/>
    <xf numFmtId="164" fontId="4" fillId="0" borderId="10" xfId="0" applyNumberFormat="1" applyFont="1" applyBorder="1"/>
    <xf numFmtId="0" fontId="4" fillId="0" borderId="38" xfId="0" applyFont="1" applyFill="1" applyBorder="1"/>
    <xf numFmtId="177" fontId="4" fillId="0" borderId="21" xfId="0" applyNumberFormat="1" applyFont="1" applyBorder="1"/>
    <xf numFmtId="10" fontId="4" fillId="0" borderId="21" xfId="121" applyNumberFormat="1" applyFont="1" applyBorder="1"/>
    <xf numFmtId="0" fontId="4" fillId="0" borderId="21" xfId="121" applyNumberFormat="1" applyFont="1" applyBorder="1"/>
    <xf numFmtId="164" fontId="4" fillId="0" borderId="21" xfId="0" applyNumberFormat="1" applyFont="1" applyBorder="1"/>
    <xf numFmtId="164" fontId="4" fillId="0" borderId="33" xfId="0" applyNumberFormat="1" applyFont="1" applyBorder="1"/>
    <xf numFmtId="0" fontId="4" fillId="0" borderId="38" xfId="0" applyFont="1" applyBorder="1"/>
    <xf numFmtId="0" fontId="4" fillId="0" borderId="40" xfId="0" applyFont="1" applyFill="1" applyBorder="1"/>
    <xf numFmtId="41" fontId="13" fillId="0" borderId="13" xfId="0" applyNumberFormat="1" applyFont="1" applyFill="1" applyBorder="1" applyAlignment="1">
      <alignment horizontal="right"/>
    </xf>
    <xf numFmtId="0" fontId="4" fillId="0" borderId="39" xfId="0" applyFont="1" applyFill="1" applyBorder="1"/>
    <xf numFmtId="180" fontId="4" fillId="0" borderId="0" xfId="0" applyNumberFormat="1" applyFont="1" applyBorder="1"/>
    <xf numFmtId="164" fontId="4" fillId="0" borderId="41" xfId="0" applyNumberFormat="1" applyFont="1" applyBorder="1"/>
    <xf numFmtId="0" fontId="15" fillId="0" borderId="39" xfId="0" applyFont="1" applyFill="1" applyBorder="1"/>
    <xf numFmtId="1" fontId="15" fillId="0" borderId="0" xfId="0" applyNumberFormat="1" applyFont="1" applyBorder="1"/>
    <xf numFmtId="41" fontId="15" fillId="25" borderId="0" xfId="0" applyNumberFormat="1" applyFont="1" applyFill="1" applyBorder="1"/>
    <xf numFmtId="2" fontId="15" fillId="0" borderId="0" xfId="0" applyNumberFormat="1" applyFont="1" applyBorder="1"/>
    <xf numFmtId="174" fontId="16" fillId="0" borderId="16" xfId="0" applyNumberFormat="1" applyFont="1" applyFill="1" applyBorder="1" applyAlignment="1">
      <alignment horizontal="right"/>
    </xf>
    <xf numFmtId="10" fontId="15" fillId="0" borderId="0" xfId="121" applyNumberFormat="1" applyFont="1" applyBorder="1"/>
    <xf numFmtId="0" fontId="15" fillId="0" borderId="0" xfId="0" applyFont="1" applyBorder="1"/>
    <xf numFmtId="0" fontId="15" fillId="25" borderId="24" xfId="0" applyFont="1" applyFill="1" applyBorder="1"/>
    <xf numFmtId="164" fontId="17" fillId="0" borderId="0" xfId="0" applyNumberFormat="1" applyFont="1" applyBorder="1"/>
    <xf numFmtId="43" fontId="15" fillId="0" borderId="24" xfId="0" applyNumberFormat="1" applyFont="1" applyBorder="1"/>
    <xf numFmtId="41" fontId="15" fillId="0" borderId="0" xfId="0" applyNumberFormat="1" applyFont="1" applyBorder="1"/>
    <xf numFmtId="41" fontId="14" fillId="0" borderId="16" xfId="0" applyNumberFormat="1" applyFont="1" applyFill="1" applyBorder="1" applyAlignment="1">
      <alignment horizontal="right"/>
    </xf>
    <xf numFmtId="41" fontId="15" fillId="0" borderId="16" xfId="0" applyNumberFormat="1" applyFont="1" applyBorder="1"/>
    <xf numFmtId="0" fontId="6" fillId="0" borderId="0" xfId="0" applyFont="1"/>
    <xf numFmtId="0" fontId="6" fillId="38" borderId="0" xfId="0" applyFont="1" applyFill="1"/>
    <xf numFmtId="0" fontId="20" fillId="38" borderId="20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 wrapText="1"/>
    </xf>
    <xf numFmtId="0" fontId="20" fillId="38" borderId="20" xfId="0" applyFont="1" applyFill="1" applyBorder="1" applyAlignment="1">
      <alignment horizontal="center" wrapText="1"/>
    </xf>
    <xf numFmtId="0" fontId="20" fillId="38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1" fillId="35" borderId="0" xfId="0" applyFont="1" applyFill="1" applyAlignment="1">
      <alignment horizontal="center" wrapText="1"/>
    </xf>
    <xf numFmtId="0" fontId="21" fillId="39" borderId="0" xfId="0" applyFont="1" applyFill="1" applyAlignment="1">
      <alignment horizontal="center" wrapText="1"/>
    </xf>
    <xf numFmtId="0" fontId="22" fillId="40" borderId="0" xfId="0" applyFont="1" applyFill="1" applyAlignment="1">
      <alignment horizontal="center" wrapText="1"/>
    </xf>
    <xf numFmtId="0" fontId="21" fillId="38" borderId="0" xfId="0" applyFont="1" applyFill="1" applyAlignment="1">
      <alignment horizontal="center" wrapText="1"/>
    </xf>
    <xf numFmtId="0" fontId="23" fillId="29" borderId="0" xfId="0" applyFont="1" applyFill="1" applyAlignment="1">
      <alignment horizontal="center" vertical="center" wrapText="1"/>
    </xf>
    <xf numFmtId="0" fontId="6" fillId="0" borderId="39" xfId="0" applyFont="1" applyBorder="1"/>
    <xf numFmtId="0" fontId="25" fillId="38" borderId="0" xfId="0" applyFont="1" applyFill="1" applyBorder="1" applyAlignment="1">
      <alignment horizontal="center"/>
    </xf>
    <xf numFmtId="14" fontId="6" fillId="0" borderId="0" xfId="0" applyNumberFormat="1" applyFont="1"/>
    <xf numFmtId="17" fontId="6" fillId="0" borderId="0" xfId="0" applyNumberFormat="1" applyFont="1"/>
    <xf numFmtId="0" fontId="26" fillId="38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2" fontId="6" fillId="0" borderId="0" xfId="0" applyNumberFormat="1" applyFont="1" applyFill="1"/>
    <xf numFmtId="17" fontId="6" fillId="0" borderId="0" xfId="0" applyNumberFormat="1" applyFont="1" applyFill="1"/>
    <xf numFmtId="10" fontId="26" fillId="38" borderId="0" xfId="0" applyNumberFormat="1" applyFont="1" applyFill="1"/>
    <xf numFmtId="10" fontId="20" fillId="40" borderId="42" xfId="0" applyNumberFormat="1" applyFont="1" applyFill="1" applyBorder="1"/>
    <xf numFmtId="10" fontId="20" fillId="40" borderId="43" xfId="0" applyNumberFormat="1" applyFont="1" applyFill="1" applyBorder="1"/>
    <xf numFmtId="10" fontId="20" fillId="40" borderId="44" xfId="0" applyNumberFormat="1" applyFont="1" applyFill="1" applyBorder="1"/>
    <xf numFmtId="10" fontId="20" fillId="38" borderId="0" xfId="0" applyNumberFormat="1" applyFont="1" applyFill="1"/>
    <xf numFmtId="10" fontId="27" fillId="40" borderId="0" xfId="0" applyNumberFormat="1" applyFont="1" applyFill="1" applyBorder="1"/>
    <xf numFmtId="10" fontId="28" fillId="40" borderId="0" xfId="0" applyNumberFormat="1" applyFont="1" applyFill="1" applyBorder="1"/>
    <xf numFmtId="10" fontId="29" fillId="40" borderId="0" xfId="0" applyNumberFormat="1" applyFont="1" applyFill="1" applyBorder="1"/>
    <xf numFmtId="10" fontId="29" fillId="0" borderId="0" xfId="0" applyNumberFormat="1" applyFont="1" applyFill="1" applyBorder="1"/>
    <xf numFmtId="10" fontId="6" fillId="0" borderId="0" xfId="0" applyNumberFormat="1" applyFont="1"/>
    <xf numFmtId="10" fontId="6" fillId="0" borderId="0" xfId="0" applyNumberFormat="1" applyFont="1" applyFill="1"/>
    <xf numFmtId="10" fontId="6" fillId="0" borderId="12" xfId="0" applyNumberFormat="1" applyFont="1" applyBorder="1"/>
    <xf numFmtId="10" fontId="6" fillId="0" borderId="12" xfId="0" applyNumberFormat="1" applyFont="1" applyFill="1" applyBorder="1"/>
    <xf numFmtId="10" fontId="6" fillId="0" borderId="0" xfId="0" applyNumberFormat="1" applyFont="1" applyFill="1" applyBorder="1"/>
    <xf numFmtId="170" fontId="6" fillId="38" borderId="0" xfId="0" applyNumberFormat="1" applyFont="1" applyFill="1" applyBorder="1"/>
    <xf numFmtId="10" fontId="27" fillId="40" borderId="45" xfId="0" applyNumberFormat="1" applyFont="1" applyFill="1" applyBorder="1"/>
    <xf numFmtId="10" fontId="28" fillId="40" borderId="46" xfId="0" applyNumberFormat="1" applyFont="1" applyFill="1" applyBorder="1"/>
    <xf numFmtId="10" fontId="29" fillId="40" borderId="47" xfId="0" applyNumberFormat="1" applyFont="1" applyFill="1" applyBorder="1"/>
    <xf numFmtId="0" fontId="6" fillId="0" borderId="0" xfId="0" applyFont="1" applyBorder="1"/>
    <xf numFmtId="10" fontId="29" fillId="40" borderId="44" xfId="0" applyNumberFormat="1" applyFont="1" applyFill="1" applyBorder="1"/>
    <xf numFmtId="0" fontId="6" fillId="0" borderId="0" xfId="0" applyFont="1" applyFill="1" applyBorder="1"/>
    <xf numFmtId="10" fontId="28" fillId="0" borderId="0" xfId="0" applyNumberFormat="1" applyFont="1" applyFill="1" applyBorder="1"/>
    <xf numFmtId="41" fontId="0" fillId="0" borderId="0" xfId="0" applyNumberFormat="1"/>
    <xf numFmtId="41" fontId="18" fillId="0" borderId="0" xfId="0" applyNumberFormat="1" applyFont="1" applyBorder="1" applyAlignment="1">
      <alignment horizontal="left"/>
    </xf>
    <xf numFmtId="41" fontId="0" fillId="0" borderId="0" xfId="0" applyNumberFormat="1" applyBorder="1"/>
    <xf numFmtId="41" fontId="4" fillId="0" borderId="0" xfId="0" applyNumberFormat="1" applyFont="1" applyBorder="1" applyAlignment="1">
      <alignment horizontal="center"/>
    </xf>
    <xf numFmtId="41" fontId="4" fillId="29" borderId="31" xfId="0" applyNumberFormat="1" applyFont="1" applyFill="1" applyBorder="1" applyAlignment="1">
      <alignment horizontal="center"/>
    </xf>
    <xf numFmtId="41" fontId="4" fillId="36" borderId="31" xfId="0" applyNumberFormat="1" applyFont="1" applyFill="1" applyBorder="1" applyAlignment="1">
      <alignment horizontal="center"/>
    </xf>
    <xf numFmtId="41" fontId="4" fillId="37" borderId="31" xfId="0" applyNumberFormat="1" applyFont="1" applyFill="1" applyBorder="1" applyAlignment="1">
      <alignment horizontal="center"/>
    </xf>
    <xf numFmtId="41" fontId="4" fillId="29" borderId="16" xfId="0" applyNumberFormat="1" applyFont="1" applyFill="1" applyBorder="1" applyAlignment="1">
      <alignment horizontal="center"/>
    </xf>
    <xf numFmtId="41" fontId="4" fillId="36" borderId="16" xfId="0" applyNumberFormat="1" applyFont="1" applyFill="1" applyBorder="1" applyAlignment="1">
      <alignment horizontal="center"/>
    </xf>
    <xf numFmtId="41" fontId="4" fillId="37" borderId="16" xfId="0" applyNumberFormat="1" applyFont="1" applyFill="1" applyBorder="1" applyAlignment="1">
      <alignment horizontal="center"/>
    </xf>
    <xf numFmtId="41" fontId="8" fillId="0" borderId="0" xfId="0" applyNumberFormat="1" applyFont="1"/>
    <xf numFmtId="41" fontId="4" fillId="0" borderId="0" xfId="0" applyNumberFormat="1" applyFont="1" applyFill="1" applyBorder="1" applyAlignment="1">
      <alignment horizontal="center"/>
    </xf>
    <xf numFmtId="41" fontId="4" fillId="0" borderId="0" xfId="121" applyNumberFormat="1" applyFont="1" applyFill="1" applyBorder="1"/>
    <xf numFmtId="41" fontId="4" fillId="0" borderId="0" xfId="121" applyNumberFormat="1" applyFont="1" applyBorder="1"/>
    <xf numFmtId="41" fontId="4" fillId="0" borderId="17" xfId="0" applyNumberFormat="1" applyFont="1" applyBorder="1"/>
    <xf numFmtId="41" fontId="4" fillId="0" borderId="21" xfId="0" applyNumberFormat="1" applyFont="1" applyBorder="1"/>
    <xf numFmtId="41" fontId="14" fillId="0" borderId="0" xfId="0" applyNumberFormat="1" applyFont="1" applyFill="1" applyBorder="1"/>
    <xf numFmtId="41" fontId="4" fillId="0" borderId="13" xfId="0" applyNumberFormat="1" applyFont="1" applyBorder="1"/>
    <xf numFmtId="41" fontId="4" fillId="0" borderId="21" xfId="0" applyNumberFormat="1" applyFont="1" applyFill="1" applyBorder="1"/>
    <xf numFmtId="41" fontId="4" fillId="0" borderId="33" xfId="0" applyNumberFormat="1" applyFont="1" applyBorder="1"/>
    <xf numFmtId="41" fontId="4" fillId="0" borderId="0" xfId="0" applyNumberFormat="1" applyFont="1" applyBorder="1" applyAlignment="1">
      <alignment horizontal="right"/>
    </xf>
    <xf numFmtId="41" fontId="15" fillId="0" borderId="21" xfId="0" applyNumberFormat="1" applyFont="1" applyBorder="1"/>
    <xf numFmtId="41" fontId="4" fillId="29" borderId="31" xfId="0" applyNumberFormat="1" applyFont="1" applyFill="1" applyBorder="1"/>
    <xf numFmtId="41" fontId="4" fillId="0" borderId="38" xfId="0" applyNumberFormat="1" applyFont="1" applyBorder="1"/>
    <xf numFmtId="41" fontId="4" fillId="33" borderId="31" xfId="0" applyNumberFormat="1" applyFont="1" applyFill="1" applyBorder="1"/>
    <xf numFmtId="41" fontId="4" fillId="35" borderId="31" xfId="121" applyNumberFormat="1" applyFont="1" applyFill="1" applyBorder="1"/>
    <xf numFmtId="41" fontId="4" fillId="36" borderId="31" xfId="121" applyNumberFormat="1" applyFont="1" applyFill="1" applyBorder="1"/>
    <xf numFmtId="41" fontId="4" fillId="37" borderId="31" xfId="0" applyNumberFormat="1" applyFont="1" applyFill="1" applyBorder="1"/>
    <xf numFmtId="41" fontId="4" fillId="29" borderId="16" xfId="0" applyNumberFormat="1" applyFont="1" applyFill="1" applyBorder="1"/>
    <xf numFmtId="41" fontId="4" fillId="33" borderId="16" xfId="0" applyNumberFormat="1" applyFont="1" applyFill="1" applyBorder="1"/>
    <xf numFmtId="41" fontId="4" fillId="35" borderId="16" xfId="121" applyNumberFormat="1" applyFont="1" applyFill="1" applyBorder="1"/>
    <xf numFmtId="41" fontId="4" fillId="36" borderId="16" xfId="121" applyNumberFormat="1" applyFont="1" applyFill="1" applyBorder="1"/>
    <xf numFmtId="41" fontId="4" fillId="37" borderId="16" xfId="0" applyNumberFormat="1" applyFont="1" applyFill="1" applyBorder="1"/>
    <xf numFmtId="41" fontId="4" fillId="29" borderId="13" xfId="0" applyNumberFormat="1" applyFont="1" applyFill="1" applyBorder="1"/>
    <xf numFmtId="41" fontId="4" fillId="0" borderId="39" xfId="0" applyNumberFormat="1" applyFont="1" applyFill="1" applyBorder="1"/>
    <xf numFmtId="41" fontId="4" fillId="33" borderId="13" xfId="0" applyNumberFormat="1" applyFont="1" applyFill="1" applyBorder="1"/>
    <xf numFmtId="41" fontId="4" fillId="35" borderId="13" xfId="121" applyNumberFormat="1" applyFont="1" applyFill="1" applyBorder="1"/>
    <xf numFmtId="41" fontId="4" fillId="36" borderId="13" xfId="121" applyNumberFormat="1" applyFont="1" applyFill="1" applyBorder="1"/>
    <xf numFmtId="41" fontId="4" fillId="37" borderId="13" xfId="0" applyNumberFormat="1" applyFont="1" applyFill="1" applyBorder="1"/>
    <xf numFmtId="41" fontId="19" fillId="0" borderId="21" xfId="0" applyNumberFormat="1" applyFont="1" applyFill="1" applyBorder="1"/>
    <xf numFmtId="41" fontId="4" fillId="31" borderId="31" xfId="0" applyNumberFormat="1" applyFont="1" applyFill="1" applyBorder="1"/>
    <xf numFmtId="41" fontId="4" fillId="32" borderId="31" xfId="0" applyNumberFormat="1" applyFont="1" applyFill="1" applyBorder="1"/>
    <xf numFmtId="41" fontId="4" fillId="36" borderId="31" xfId="0" applyNumberFormat="1" applyFont="1" applyFill="1" applyBorder="1"/>
    <xf numFmtId="41" fontId="4" fillId="31" borderId="16" xfId="0" applyNumberFormat="1" applyFont="1" applyFill="1" applyBorder="1"/>
    <xf numFmtId="41" fontId="4" fillId="32" borderId="16" xfId="0" applyNumberFormat="1" applyFont="1" applyFill="1" applyBorder="1"/>
    <xf numFmtId="41" fontId="4" fillId="36" borderId="16" xfId="0" applyNumberFormat="1" applyFont="1" applyFill="1" applyBorder="1"/>
    <xf numFmtId="41" fontId="15" fillId="0" borderId="24" xfId="0" applyNumberFormat="1" applyFont="1" applyBorder="1"/>
    <xf numFmtId="41" fontId="15" fillId="0" borderId="39" xfId="0" applyNumberFormat="1" applyFont="1" applyFill="1" applyBorder="1"/>
    <xf numFmtId="41" fontId="15" fillId="27" borderId="16" xfId="0" applyNumberFormat="1" applyFont="1" applyFill="1" applyBorder="1"/>
    <xf numFmtId="41" fontId="17" fillId="0" borderId="0" xfId="0" applyNumberFormat="1" applyFont="1" applyBorder="1"/>
    <xf numFmtId="41" fontId="15" fillId="28" borderId="16" xfId="0" applyNumberFormat="1" applyFont="1" applyFill="1" applyBorder="1"/>
    <xf numFmtId="41" fontId="17" fillId="29" borderId="16" xfId="0" applyNumberFormat="1" applyFont="1" applyFill="1" applyBorder="1"/>
    <xf numFmtId="41" fontId="17" fillId="31" borderId="16" xfId="0" applyNumberFormat="1" applyFont="1" applyFill="1" applyBorder="1"/>
    <xf numFmtId="41" fontId="17" fillId="0" borderId="0" xfId="121" applyNumberFormat="1" applyFont="1" applyBorder="1"/>
    <xf numFmtId="41" fontId="17" fillId="36" borderId="16" xfId="0" applyNumberFormat="1" applyFont="1" applyFill="1" applyBorder="1"/>
    <xf numFmtId="41" fontId="15" fillId="37" borderId="16" xfId="0" applyNumberFormat="1" applyFont="1" applyFill="1" applyBorder="1"/>
    <xf numFmtId="41" fontId="15" fillId="0" borderId="0" xfId="0" applyNumberFormat="1" applyFont="1"/>
    <xf numFmtId="41" fontId="4" fillId="31" borderId="13" xfId="0" applyNumberFormat="1" applyFont="1" applyFill="1" applyBorder="1"/>
    <xf numFmtId="41" fontId="4" fillId="32" borderId="13" xfId="0" applyNumberFormat="1" applyFont="1" applyFill="1" applyBorder="1"/>
    <xf numFmtId="41" fontId="4" fillId="36" borderId="13" xfId="0" applyNumberFormat="1" applyFont="1" applyFill="1" applyBorder="1"/>
    <xf numFmtId="41" fontId="4" fillId="32" borderId="16" xfId="0" applyNumberFormat="1" applyFont="1" applyFill="1" applyBorder="1" applyAlignment="1">
      <alignment horizontal="center"/>
    </xf>
    <xf numFmtId="41" fontId="8" fillId="0" borderId="0" xfId="0" applyNumberFormat="1" applyFont="1" applyAlignment="1">
      <alignment horizontal="center" wrapText="1"/>
    </xf>
    <xf numFmtId="41" fontId="8" fillId="0" borderId="0" xfId="0" applyNumberFormat="1" applyFont="1" applyFill="1"/>
    <xf numFmtId="41" fontId="4" fillId="0" borderId="20" xfId="0" applyNumberFormat="1" applyFont="1" applyBorder="1"/>
    <xf numFmtId="41" fontId="0" fillId="0" borderId="0" xfId="0" applyNumberFormat="1" applyFill="1" applyBorder="1"/>
    <xf numFmtId="10" fontId="0" fillId="0" borderId="0" xfId="0" applyNumberFormat="1"/>
    <xf numFmtId="10" fontId="4" fillId="0" borderId="0" xfId="0" applyNumberFormat="1" applyFont="1" applyBorder="1"/>
    <xf numFmtId="10" fontId="0" fillId="0" borderId="0" xfId="0" applyNumberFormat="1" applyFill="1" applyBorder="1"/>
    <xf numFmtId="183" fontId="0" fillId="0" borderId="0" xfId="0" applyNumberFormat="1"/>
    <xf numFmtId="183" fontId="0" fillId="0" borderId="0" xfId="0" applyNumberFormat="1" applyBorder="1"/>
    <xf numFmtId="183" fontId="4" fillId="0" borderId="0" xfId="0" applyNumberFormat="1" applyFont="1" applyBorder="1" applyAlignment="1">
      <alignment horizontal="center"/>
    </xf>
    <xf numFmtId="41" fontId="4" fillId="0" borderId="49" xfId="0" applyNumberFormat="1" applyFont="1" applyBorder="1"/>
    <xf numFmtId="41" fontId="4" fillId="0" borderId="50" xfId="0" applyNumberFormat="1" applyFont="1" applyBorder="1"/>
    <xf numFmtId="41" fontId="4" fillId="0" borderId="51" xfId="0" applyNumberFormat="1" applyFont="1" applyBorder="1"/>
    <xf numFmtId="41" fontId="4" fillId="0" borderId="51" xfId="0" applyNumberFormat="1" applyFont="1" applyFill="1" applyBorder="1"/>
    <xf numFmtId="182" fontId="4" fillId="0" borderId="0" xfId="0" applyNumberFormat="1" applyFont="1" applyBorder="1"/>
    <xf numFmtId="41" fontId="4" fillId="0" borderId="52" xfId="0" applyNumberFormat="1" applyFont="1" applyBorder="1"/>
    <xf numFmtId="0" fontId="4" fillId="0" borderId="0" xfId="0" applyFont="1" applyBorder="1" applyAlignment="1">
      <alignment horizontal="center" wrapText="1"/>
    </xf>
    <xf numFmtId="10" fontId="27" fillId="0" borderId="0" xfId="0" applyNumberFormat="1" applyFont="1" applyFill="1" applyBorder="1"/>
    <xf numFmtId="10" fontId="31" fillId="0" borderId="45" xfId="0" applyNumberFormat="1" applyFont="1" applyFill="1" applyBorder="1"/>
    <xf numFmtId="10" fontId="31" fillId="0" borderId="46" xfId="0" applyNumberFormat="1" applyFont="1" applyFill="1" applyBorder="1"/>
    <xf numFmtId="10" fontId="31" fillId="0" borderId="47" xfId="0" applyNumberFormat="1" applyFont="1" applyFill="1" applyBorder="1"/>
    <xf numFmtId="10" fontId="31" fillId="0" borderId="0" xfId="0" applyNumberFormat="1" applyFont="1" applyFill="1" applyBorder="1"/>
    <xf numFmtId="10" fontId="20" fillId="40" borderId="53" xfId="0" applyNumberFormat="1" applyFont="1" applyFill="1" applyBorder="1"/>
    <xf numFmtId="10" fontId="31" fillId="40" borderId="54" xfId="0" applyNumberFormat="1" applyFont="1" applyFill="1" applyBorder="1"/>
    <xf numFmtId="10" fontId="20" fillId="0" borderId="0" xfId="0" applyNumberFormat="1" applyFont="1" applyFill="1"/>
    <xf numFmtId="0" fontId="26" fillId="0" borderId="0" xfId="0" applyFont="1" applyFill="1"/>
    <xf numFmtId="10" fontId="26" fillId="0" borderId="0" xfId="0" applyNumberFormat="1" applyFont="1" applyFill="1"/>
    <xf numFmtId="14" fontId="20" fillId="0" borderId="32" xfId="0" applyNumberFormat="1" applyFont="1" applyBorder="1"/>
    <xf numFmtId="0" fontId="6" fillId="0" borderId="21" xfId="0" applyFont="1" applyBorder="1"/>
    <xf numFmtId="0" fontId="6" fillId="38" borderId="21" xfId="0" applyFont="1" applyFill="1" applyBorder="1"/>
    <xf numFmtId="2" fontId="6" fillId="0" borderId="21" xfId="0" applyNumberFormat="1" applyFont="1" applyFill="1" applyBorder="1"/>
    <xf numFmtId="0" fontId="6" fillId="0" borderId="21" xfId="0" applyFont="1" applyFill="1" applyBorder="1"/>
    <xf numFmtId="17" fontId="6" fillId="0" borderId="17" xfId="0" applyNumberFormat="1" applyFont="1" applyBorder="1"/>
    <xf numFmtId="0" fontId="6" fillId="38" borderId="0" xfId="0" applyFont="1" applyFill="1" applyBorder="1"/>
    <xf numFmtId="1" fontId="6" fillId="38" borderId="0" xfId="0" applyNumberFormat="1" applyFont="1" applyFill="1" applyBorder="1"/>
    <xf numFmtId="17" fontId="6" fillId="0" borderId="18" xfId="0" applyNumberFormat="1" applyFont="1" applyBorder="1"/>
    <xf numFmtId="1" fontId="6" fillId="0" borderId="12" xfId="0" applyNumberFormat="1" applyFont="1" applyBorder="1"/>
    <xf numFmtId="2" fontId="6" fillId="0" borderId="12" xfId="0" applyNumberFormat="1" applyFont="1" applyBorder="1"/>
    <xf numFmtId="0" fontId="6" fillId="38" borderId="12" xfId="0" applyFont="1" applyFill="1" applyBorder="1"/>
    <xf numFmtId="17" fontId="6" fillId="0" borderId="32" xfId="0" applyNumberFormat="1" applyFont="1" applyBorder="1"/>
    <xf numFmtId="2" fontId="6" fillId="0" borderId="24" xfId="0" applyNumberFormat="1" applyFont="1" applyBorder="1"/>
    <xf numFmtId="2" fontId="6" fillId="0" borderId="0" xfId="0" applyNumberFormat="1" applyFont="1" applyFill="1" applyBorder="1"/>
    <xf numFmtId="10" fontId="6" fillId="0" borderId="21" xfId="0" applyNumberFormat="1" applyFont="1" applyBorder="1"/>
    <xf numFmtId="10" fontId="6" fillId="0" borderId="21" xfId="0" applyNumberFormat="1" applyFont="1" applyFill="1" applyBorder="1"/>
    <xf numFmtId="170" fontId="6" fillId="38" borderId="21" xfId="0" applyNumberFormat="1" applyFont="1" applyFill="1" applyBorder="1"/>
    <xf numFmtId="10" fontId="6" fillId="0" borderId="33" xfId="0" applyNumberFormat="1" applyFont="1" applyFill="1" applyBorder="1"/>
    <xf numFmtId="10" fontId="6" fillId="0" borderId="0" xfId="0" applyNumberFormat="1" applyFont="1" applyBorder="1"/>
    <xf numFmtId="10" fontId="6" fillId="0" borderId="24" xfId="0" applyNumberFormat="1" applyFont="1" applyFill="1" applyBorder="1"/>
    <xf numFmtId="10" fontId="20" fillId="38" borderId="0" xfId="0" applyNumberFormat="1" applyFont="1" applyFill="1" applyBorder="1"/>
    <xf numFmtId="10" fontId="20" fillId="38" borderId="12" xfId="0" applyNumberFormat="1" applyFont="1" applyFill="1" applyBorder="1"/>
    <xf numFmtId="10" fontId="6" fillId="0" borderId="23" xfId="0" applyNumberFormat="1" applyFont="1" applyFill="1" applyBorder="1"/>
    <xf numFmtId="10" fontId="20" fillId="38" borderId="21" xfId="0" applyNumberFormat="1" applyFont="1" applyFill="1" applyBorder="1"/>
    <xf numFmtId="0" fontId="20" fillId="0" borderId="17" xfId="0" applyFont="1" applyBorder="1" applyAlignment="1">
      <alignment horizontal="center" wrapText="1"/>
    </xf>
    <xf numFmtId="0" fontId="21" fillId="33" borderId="0" xfId="0" applyFont="1" applyFill="1" applyBorder="1" applyAlignment="1">
      <alignment horizontal="center" wrapText="1"/>
    </xf>
    <xf numFmtId="0" fontId="6" fillId="0" borderId="17" xfId="0" applyFont="1" applyBorder="1"/>
    <xf numFmtId="0" fontId="6" fillId="0" borderId="24" xfId="0" applyFont="1" applyBorder="1"/>
    <xf numFmtId="0" fontId="21" fillId="33" borderId="17" xfId="0" applyFont="1" applyFill="1" applyBorder="1" applyAlignment="1">
      <alignment horizontal="center" wrapText="1"/>
    </xf>
    <xf numFmtId="0" fontId="6" fillId="0" borderId="32" xfId="0" applyFont="1" applyBorder="1"/>
    <xf numFmtId="10" fontId="31" fillId="0" borderId="24" xfId="0" applyNumberFormat="1" applyFont="1" applyFill="1" applyBorder="1"/>
    <xf numFmtId="10" fontId="20" fillId="40" borderId="55" xfId="0" applyNumberFormat="1" applyFont="1" applyFill="1" applyBorder="1"/>
    <xf numFmtId="10" fontId="31" fillId="40" borderId="56" xfId="0" applyNumberFormat="1" applyFont="1" applyFill="1" applyBorder="1"/>
    <xf numFmtId="10" fontId="31" fillId="0" borderId="57" xfId="0" applyNumberFormat="1" applyFont="1" applyFill="1" applyBorder="1"/>
    <xf numFmtId="10" fontId="20" fillId="40" borderId="58" xfId="0" applyNumberFormat="1" applyFont="1" applyFill="1" applyBorder="1"/>
    <xf numFmtId="10" fontId="29" fillId="0" borderId="24" xfId="0" applyNumberFormat="1" applyFont="1" applyFill="1" applyBorder="1"/>
    <xf numFmtId="10" fontId="27" fillId="40" borderId="57" xfId="0" applyNumberFormat="1" applyFont="1" applyFill="1" applyBorder="1"/>
    <xf numFmtId="0" fontId="21" fillId="32" borderId="0" xfId="0" applyFont="1" applyFill="1" applyBorder="1" applyAlignment="1">
      <alignment horizontal="center" wrapText="1"/>
    </xf>
    <xf numFmtId="0" fontId="24" fillId="29" borderId="24" xfId="0" applyFont="1" applyFill="1" applyBorder="1" applyAlignment="1">
      <alignment horizontal="center" vertical="center" wrapText="1"/>
    </xf>
    <xf numFmtId="0" fontId="21" fillId="41" borderId="0" xfId="0" applyFont="1" applyFill="1" applyBorder="1" applyAlignment="1">
      <alignment horizontal="center" wrapText="1"/>
    </xf>
    <xf numFmtId="0" fontId="21" fillId="42" borderId="0" xfId="0" applyFont="1" applyFill="1" applyBorder="1" applyAlignment="1">
      <alignment horizontal="center" wrapText="1"/>
    </xf>
    <xf numFmtId="17" fontId="6" fillId="0" borderId="0" xfId="0" applyNumberFormat="1" applyFont="1" applyBorder="1"/>
    <xf numFmtId="10" fontId="26" fillId="38" borderId="33" xfId="0" applyNumberFormat="1" applyFont="1" applyFill="1" applyBorder="1"/>
    <xf numFmtId="10" fontId="26" fillId="38" borderId="24" xfId="0" applyNumberFormat="1" applyFont="1" applyFill="1" applyBorder="1"/>
    <xf numFmtId="10" fontId="26" fillId="38" borderId="23" xfId="0" applyNumberFormat="1" applyFont="1" applyFill="1" applyBorder="1"/>
    <xf numFmtId="2" fontId="6" fillId="0" borderId="41" xfId="0" applyNumberFormat="1" applyFont="1" applyBorder="1"/>
    <xf numFmtId="1" fontId="6" fillId="0" borderId="21" xfId="0" applyNumberFormat="1" applyFont="1" applyBorder="1"/>
    <xf numFmtId="2" fontId="6" fillId="0" borderId="21" xfId="0" applyNumberFormat="1" applyFont="1" applyBorder="1"/>
    <xf numFmtId="10" fontId="27" fillId="0" borderId="17" xfId="0" applyNumberFormat="1" applyFont="1" applyFill="1" applyBorder="1"/>
    <xf numFmtId="1" fontId="6" fillId="0" borderId="0" xfId="0" applyNumberFormat="1" applyFont="1" applyFill="1"/>
    <xf numFmtId="0" fontId="6" fillId="0" borderId="33" xfId="0" applyFont="1" applyBorder="1"/>
    <xf numFmtId="10" fontId="20" fillId="0" borderId="0" xfId="0" applyNumberFormat="1" applyFont="1" applyFill="1" applyBorder="1"/>
    <xf numFmtId="10" fontId="27" fillId="40" borderId="40" xfId="0" applyNumberFormat="1" applyFont="1" applyFill="1" applyBorder="1"/>
    <xf numFmtId="10" fontId="28" fillId="40" borderId="12" xfId="0" applyNumberFormat="1" applyFont="1" applyFill="1" applyBorder="1"/>
    <xf numFmtId="10" fontId="29" fillId="40" borderId="22" xfId="0" applyNumberFormat="1" applyFont="1" applyFill="1" applyBorder="1"/>
    <xf numFmtId="10" fontId="31" fillId="40" borderId="59" xfId="0" applyNumberFormat="1" applyFont="1" applyFill="1" applyBorder="1"/>
    <xf numFmtId="10" fontId="31" fillId="40" borderId="15" xfId="0" applyNumberFormat="1" applyFont="1" applyFill="1" applyBorder="1"/>
    <xf numFmtId="10" fontId="27" fillId="40" borderId="18" xfId="0" applyNumberFormat="1" applyFont="1" applyFill="1" applyBorder="1"/>
    <xf numFmtId="10" fontId="29" fillId="0" borderId="12" xfId="0" applyNumberFormat="1" applyFont="1" applyFill="1" applyBorder="1"/>
    <xf numFmtId="10" fontId="29" fillId="0" borderId="23" xfId="0" applyNumberFormat="1" applyFont="1" applyFill="1" applyBorder="1"/>
    <xf numFmtId="41" fontId="14" fillId="0" borderId="60" xfId="0" applyNumberFormat="1" applyFont="1" applyFill="1" applyBorder="1" applyAlignment="1">
      <alignment horizontal="right"/>
    </xf>
    <xf numFmtId="38" fontId="4" fillId="0" borderId="61" xfId="0" applyNumberFormat="1" applyFont="1" applyBorder="1"/>
    <xf numFmtId="38" fontId="4" fillId="0" borderId="62" xfId="0" applyNumberFormat="1" applyFont="1" applyBorder="1"/>
    <xf numFmtId="41" fontId="13" fillId="0" borderId="49" xfId="0" applyNumberFormat="1" applyFont="1" applyFill="1" applyBorder="1" applyAlignment="1">
      <alignment horizontal="right"/>
    </xf>
    <xf numFmtId="41" fontId="24" fillId="0" borderId="0" xfId="0" applyNumberFormat="1" applyFont="1" applyFill="1" applyBorder="1"/>
    <xf numFmtId="41" fontId="32" fillId="0" borderId="0" xfId="0" applyNumberFormat="1" applyFont="1" applyFill="1" applyBorder="1"/>
    <xf numFmtId="41" fontId="33" fillId="0" borderId="0" xfId="0" applyNumberFormat="1" applyFont="1" applyFill="1" applyBorder="1"/>
    <xf numFmtId="41" fontId="4" fillId="0" borderId="49" xfId="0" applyNumberFormat="1" applyFont="1" applyFill="1" applyBorder="1"/>
    <xf numFmtId="41" fontId="19" fillId="0" borderId="0" xfId="0" applyNumberFormat="1" applyFont="1" applyFill="1" applyBorder="1"/>
    <xf numFmtId="41" fontId="4" fillId="0" borderId="17" xfId="0" applyNumberFormat="1" applyFont="1" applyFill="1" applyBorder="1"/>
    <xf numFmtId="41" fontId="4" fillId="0" borderId="52" xfId="0" applyNumberFormat="1" applyFont="1" applyFill="1" applyBorder="1"/>
    <xf numFmtId="41" fontId="4" fillId="0" borderId="50" xfId="0" applyNumberFormat="1" applyFont="1" applyFill="1" applyBorder="1"/>
    <xf numFmtId="41" fontId="4" fillId="0" borderId="18" xfId="0" applyNumberFormat="1" applyFont="1" applyBorder="1"/>
    <xf numFmtId="41" fontId="4" fillId="0" borderId="23" xfId="0" applyNumberFormat="1" applyFont="1" applyBorder="1"/>
    <xf numFmtId="41" fontId="17" fillId="0" borderId="0" xfId="121" quotePrefix="1" applyNumberFormat="1" applyFont="1" applyBorder="1"/>
    <xf numFmtId="10" fontId="4" fillId="0" borderId="49" xfId="121" applyNumberFormat="1" applyFont="1" applyBorder="1" applyAlignment="1">
      <alignment horizontal="center"/>
    </xf>
    <xf numFmtId="10" fontId="4" fillId="0" borderId="21" xfId="121" applyNumberFormat="1" applyFont="1" applyBorder="1" applyAlignment="1">
      <alignment horizontal="center"/>
    </xf>
    <xf numFmtId="10" fontId="15" fillId="0" borderId="0" xfId="121" applyNumberFormat="1" applyFont="1" applyBorder="1" applyAlignment="1">
      <alignment horizontal="center"/>
    </xf>
    <xf numFmtId="10" fontId="4" fillId="0" borderId="12" xfId="121" applyNumberFormat="1" applyFont="1" applyBorder="1" applyAlignment="1">
      <alignment horizontal="center"/>
    </xf>
    <xf numFmtId="10" fontId="4" fillId="0" borderId="49" xfId="121" applyNumberFormat="1" applyFont="1" applyFill="1" applyBorder="1" applyAlignment="1">
      <alignment horizontal="center"/>
    </xf>
    <xf numFmtId="41" fontId="19" fillId="0" borderId="21" xfId="0" quotePrefix="1" applyNumberFormat="1" applyFont="1" applyFill="1" applyBorder="1"/>
    <xf numFmtId="41" fontId="4" fillId="0" borderId="13" xfId="0" applyNumberFormat="1" applyFont="1" applyFill="1" applyBorder="1"/>
    <xf numFmtId="41" fontId="19" fillId="0" borderId="0" xfId="0" applyNumberFormat="1" applyFont="1" applyFill="1"/>
    <xf numFmtId="41" fontId="24" fillId="0" borderId="21" xfId="121" applyNumberFormat="1" applyFont="1" applyBorder="1" applyAlignment="1">
      <alignment horizontal="center"/>
    </xf>
    <xf numFmtId="41" fontId="15" fillId="0" borderId="17" xfId="0" applyNumberFormat="1" applyFont="1" applyBorder="1"/>
    <xf numFmtId="38" fontId="17" fillId="0" borderId="61" xfId="0" applyNumberFormat="1" applyFont="1" applyBorder="1"/>
    <xf numFmtId="38" fontId="17" fillId="0" borderId="62" xfId="0" applyNumberFormat="1" applyFont="1" applyBorder="1"/>
    <xf numFmtId="38" fontId="15" fillId="0" borderId="63" xfId="0" applyNumberFormat="1" applyFont="1" applyBorder="1"/>
    <xf numFmtId="41" fontId="4" fillId="74" borderId="13" xfId="0" applyNumberFormat="1" applyFont="1" applyFill="1" applyBorder="1"/>
    <xf numFmtId="41" fontId="4" fillId="74" borderId="31" xfId="0" applyNumberFormat="1" applyFont="1" applyFill="1" applyBorder="1"/>
    <xf numFmtId="41" fontId="4" fillId="74" borderId="16" xfId="0" applyNumberFormat="1" applyFont="1" applyFill="1" applyBorder="1" applyAlignment="1">
      <alignment horizontal="center"/>
    </xf>
    <xf numFmtId="41" fontId="4" fillId="75" borderId="31" xfId="0" applyNumberFormat="1" applyFont="1" applyFill="1" applyBorder="1"/>
    <xf numFmtId="41" fontId="4" fillId="75" borderId="16" xfId="0" applyNumberFormat="1" applyFont="1" applyFill="1" applyBorder="1"/>
    <xf numFmtId="41" fontId="4" fillId="75" borderId="13" xfId="0" applyNumberFormat="1" applyFont="1" applyFill="1" applyBorder="1"/>
    <xf numFmtId="41" fontId="4" fillId="75" borderId="31" xfId="121" applyNumberFormat="1" applyFont="1" applyFill="1" applyBorder="1"/>
    <xf numFmtId="41" fontId="4" fillId="75" borderId="16" xfId="121" applyNumberFormat="1" applyFont="1" applyFill="1" applyBorder="1"/>
    <xf numFmtId="41" fontId="17" fillId="75" borderId="16" xfId="121" applyNumberFormat="1" applyFont="1" applyFill="1" applyBorder="1"/>
    <xf numFmtId="41" fontId="4" fillId="75" borderId="13" xfId="121" applyNumberFormat="1" applyFont="1" applyFill="1" applyBorder="1"/>
    <xf numFmtId="173" fontId="4" fillId="0" borderId="21" xfId="55" applyNumberFormat="1" applyFont="1" applyFill="1" applyBorder="1"/>
    <xf numFmtId="41" fontId="66" fillId="0" borderId="16" xfId="0" applyNumberFormat="1" applyFont="1" applyFill="1" applyBorder="1"/>
    <xf numFmtId="41" fontId="67" fillId="0" borderId="51" xfId="0" applyNumberFormat="1" applyFont="1" applyFill="1" applyBorder="1"/>
    <xf numFmtId="0" fontId="66" fillId="0" borderId="0" xfId="0" applyFont="1"/>
    <xf numFmtId="41" fontId="67" fillId="0" borderId="21" xfId="0" applyNumberFormat="1" applyFont="1" applyFill="1" applyBorder="1"/>
    <xf numFmtId="41" fontId="66" fillId="0" borderId="31" xfId="0" applyNumberFormat="1" applyFont="1" applyBorder="1"/>
    <xf numFmtId="41" fontId="66" fillId="0" borderId="16" xfId="0" applyNumberFormat="1" applyFont="1" applyBorder="1"/>
    <xf numFmtId="41" fontId="67" fillId="0" borderId="51" xfId="0" applyNumberFormat="1" applyFont="1" applyBorder="1"/>
    <xf numFmtId="41" fontId="67" fillId="0" borderId="21" xfId="0" applyNumberFormat="1" applyFont="1" applyBorder="1"/>
    <xf numFmtId="41" fontId="68" fillId="0" borderId="16" xfId="0" applyNumberFormat="1" applyFont="1" applyBorder="1"/>
    <xf numFmtId="41" fontId="66" fillId="0" borderId="60" xfId="0" applyNumberFormat="1" applyFont="1" applyBorder="1"/>
    <xf numFmtId="41" fontId="67" fillId="0" borderId="13" xfId="0" applyNumberFormat="1" applyFont="1" applyBorder="1"/>
    <xf numFmtId="49" fontId="19" fillId="0" borderId="0" xfId="0" applyNumberFormat="1" applyFont="1" applyFill="1"/>
    <xf numFmtId="3" fontId="0" fillId="0" borderId="0" xfId="0" applyNumberFormat="1"/>
    <xf numFmtId="3" fontId="14" fillId="0" borderId="16" xfId="0" applyNumberFormat="1" applyFont="1" applyFill="1" applyBorder="1" applyAlignment="1">
      <alignment horizontal="right"/>
    </xf>
    <xf numFmtId="3" fontId="4" fillId="0" borderId="51" xfId="0" applyNumberFormat="1" applyFont="1" applyFill="1" applyBorder="1"/>
    <xf numFmtId="3" fontId="4" fillId="0" borderId="0" xfId="0" applyNumberFormat="1" applyFont="1" applyFill="1" applyBorder="1"/>
    <xf numFmtId="3" fontId="4" fillId="0" borderId="21" xfId="0" applyNumberFormat="1" applyFont="1" applyBorder="1"/>
    <xf numFmtId="3" fontId="15" fillId="0" borderId="16" xfId="0" applyNumberFormat="1" applyFont="1" applyFill="1" applyBorder="1"/>
    <xf numFmtId="3" fontId="14" fillId="0" borderId="60" xfId="0" applyNumberFormat="1" applyFont="1" applyFill="1" applyBorder="1" applyAlignment="1">
      <alignment horizontal="right"/>
    </xf>
    <xf numFmtId="37" fontId="14" fillId="0" borderId="16" xfId="0" applyNumberFormat="1" applyFont="1" applyFill="1" applyBorder="1" applyAlignment="1">
      <alignment horizontal="right"/>
    </xf>
    <xf numFmtId="49" fontId="69" fillId="76" borderId="21" xfId="0" quotePrefix="1" applyNumberFormat="1" applyFont="1" applyFill="1" applyBorder="1"/>
    <xf numFmtId="41" fontId="4" fillId="0" borderId="68" xfId="0" applyNumberFormat="1" applyFont="1" applyFill="1" applyBorder="1"/>
    <xf numFmtId="41" fontId="3" fillId="0" borderId="0" xfId="0" applyNumberFormat="1" applyFont="1" applyBorder="1" applyAlignment="1">
      <alignment horizontal="left" indent="1"/>
    </xf>
    <xf numFmtId="41" fontId="4" fillId="0" borderId="65" xfId="0" applyNumberFormat="1" applyFont="1" applyFill="1" applyBorder="1" applyAlignment="1">
      <alignment horizontal="center" wrapText="1"/>
    </xf>
    <xf numFmtId="41" fontId="4" fillId="0" borderId="25" xfId="0" applyNumberFormat="1" applyFont="1" applyFill="1" applyBorder="1" applyAlignment="1">
      <alignment horizontal="center" wrapText="1"/>
    </xf>
    <xf numFmtId="41" fontId="4" fillId="0" borderId="26" xfId="0" applyNumberFormat="1" applyFont="1" applyFill="1" applyBorder="1" applyAlignment="1">
      <alignment horizontal="center" wrapText="1"/>
    </xf>
    <xf numFmtId="41" fontId="4" fillId="0" borderId="14" xfId="0" applyNumberFormat="1" applyFont="1" applyFill="1" applyBorder="1" applyAlignment="1">
      <alignment horizontal="center" wrapText="1"/>
    </xf>
    <xf numFmtId="41" fontId="4" fillId="0" borderId="15" xfId="0" applyNumberFormat="1" applyFont="1" applyFill="1" applyBorder="1" applyAlignment="1">
      <alignment horizontal="center" wrapText="1"/>
    </xf>
    <xf numFmtId="186" fontId="0" fillId="0" borderId="0" xfId="0" applyNumberFormat="1"/>
    <xf numFmtId="49" fontId="3" fillId="0" borderId="39" xfId="0" applyNumberFormat="1" applyFont="1" applyBorder="1"/>
    <xf numFmtId="186" fontId="0" fillId="0" borderId="0" xfId="0" applyNumberFormat="1" applyFill="1"/>
    <xf numFmtId="0" fontId="0" fillId="0" borderId="0" xfId="0" applyFill="1"/>
    <xf numFmtId="41" fontId="0" fillId="0" borderId="0" xfId="0" applyNumberFormat="1" applyFill="1"/>
    <xf numFmtId="41" fontId="66" fillId="0" borderId="0" xfId="94" applyNumberFormat="1" applyFont="1"/>
    <xf numFmtId="41" fontId="15" fillId="26" borderId="17" xfId="0" applyNumberFormat="1" applyFont="1" applyFill="1" applyBorder="1"/>
    <xf numFmtId="41" fontId="15" fillId="74" borderId="16" xfId="0" applyNumberFormat="1" applyFont="1" applyFill="1" applyBorder="1"/>
    <xf numFmtId="41" fontId="17" fillId="32" borderId="16" xfId="0" applyNumberFormat="1" applyFont="1" applyFill="1" applyBorder="1"/>
    <xf numFmtId="41" fontId="17" fillId="33" borderId="16" xfId="0" applyNumberFormat="1" applyFont="1" applyFill="1" applyBorder="1"/>
    <xf numFmtId="41" fontId="17" fillId="35" borderId="16" xfId="121" applyNumberFormat="1" applyFont="1" applyFill="1" applyBorder="1"/>
    <xf numFmtId="41" fontId="4" fillId="0" borderId="39" xfId="0" applyNumberFormat="1" applyFont="1" applyBorder="1"/>
    <xf numFmtId="41" fontId="4" fillId="74" borderId="16" xfId="0" applyNumberFormat="1" applyFont="1" applyFill="1" applyBorder="1"/>
    <xf numFmtId="41" fontId="4" fillId="87" borderId="16" xfId="0" applyNumberFormat="1" applyFont="1" applyFill="1" applyBorder="1"/>
    <xf numFmtId="41" fontId="4" fillId="87" borderId="16" xfId="0" applyNumberFormat="1" applyFont="1" applyFill="1" applyBorder="1" applyAlignment="1">
      <alignment horizontal="center"/>
    </xf>
    <xf numFmtId="41" fontId="3" fillId="36" borderId="16" xfId="0" applyNumberFormat="1" applyFont="1" applyFill="1" applyBorder="1"/>
    <xf numFmtId="0" fontId="3" fillId="0" borderId="0" xfId="0" applyFont="1"/>
    <xf numFmtId="187" fontId="0" fillId="0" borderId="0" xfId="0" applyNumberFormat="1" applyFill="1"/>
    <xf numFmtId="187" fontId="0" fillId="0" borderId="0" xfId="0" applyNumberFormat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49" fontId="3" fillId="0" borderId="39" xfId="0" applyNumberFormat="1" applyFont="1" applyFill="1" applyBorder="1" applyAlignment="1">
      <alignment horizontal="left"/>
    </xf>
    <xf numFmtId="41" fontId="3" fillId="0" borderId="39" xfId="0" applyNumberFormat="1" applyFont="1" applyBorder="1"/>
    <xf numFmtId="0" fontId="88" fillId="0" borderId="0" xfId="259" applyFont="1" applyAlignment="1">
      <alignment vertical="center"/>
    </xf>
    <xf numFmtId="41" fontId="66" fillId="0" borderId="31" xfId="94" applyNumberFormat="1" applyFont="1" applyBorder="1"/>
    <xf numFmtId="41" fontId="66" fillId="0" borderId="16" xfId="94" applyNumberFormat="1" applyFont="1" applyBorder="1"/>
    <xf numFmtId="49" fontId="69" fillId="0" borderId="21" xfId="0" quotePrefix="1" applyNumberFormat="1" applyFont="1" applyFill="1" applyBorder="1"/>
    <xf numFmtId="0" fontId="4" fillId="0" borderId="21" xfId="121" applyNumberFormat="1" applyFont="1" applyFill="1" applyBorder="1" applyAlignment="1">
      <alignment horizontal="center"/>
    </xf>
    <xf numFmtId="10" fontId="4" fillId="0" borderId="21" xfId="121" applyNumberFormat="1" applyFont="1" applyFill="1" applyBorder="1" applyAlignment="1">
      <alignment horizontal="center"/>
    </xf>
    <xf numFmtId="10" fontId="4" fillId="0" borderId="21" xfId="121" applyNumberFormat="1" applyFont="1" applyFill="1" applyBorder="1"/>
    <xf numFmtId="41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/>
    <xf numFmtId="41" fontId="15" fillId="0" borderId="31" xfId="0" applyNumberFormat="1" applyFont="1" applyFill="1" applyBorder="1"/>
    <xf numFmtId="41" fontId="3" fillId="0" borderId="16" xfId="0" applyNumberFormat="1" applyFont="1" applyFill="1" applyBorder="1"/>
    <xf numFmtId="41" fontId="68" fillId="0" borderId="17" xfId="0" applyNumberFormat="1" applyFont="1" applyBorder="1"/>
    <xf numFmtId="41" fontId="13" fillId="0" borderId="51" xfId="0" applyNumberFormat="1" applyFont="1" applyFill="1" applyBorder="1" applyAlignment="1">
      <alignment horizontal="right"/>
    </xf>
    <xf numFmtId="4" fontId="0" fillId="88" borderId="0" xfId="0" applyNumberFormat="1" applyFill="1"/>
    <xf numFmtId="4" fontId="0" fillId="89" borderId="0" xfId="0" applyNumberFormat="1" applyFill="1"/>
    <xf numFmtId="3" fontId="0" fillId="89" borderId="0" xfId="0" applyNumberFormat="1" applyFill="1"/>
    <xf numFmtId="0" fontId="0" fillId="89" borderId="0" xfId="0" applyFill="1"/>
    <xf numFmtId="41" fontId="4" fillId="0" borderId="16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left" indent="1"/>
    </xf>
    <xf numFmtId="3" fontId="4" fillId="0" borderId="21" xfId="0" applyNumberFormat="1" applyFont="1" applyFill="1" applyBorder="1"/>
    <xf numFmtId="41" fontId="15" fillId="0" borderId="21" xfId="0" applyNumberFormat="1" applyFont="1" applyFill="1" applyBorder="1"/>
    <xf numFmtId="41" fontId="4" fillId="0" borderId="38" xfId="0" applyNumberFormat="1" applyFont="1" applyFill="1" applyBorder="1"/>
    <xf numFmtId="41" fontId="3" fillId="0" borderId="39" xfId="0" applyNumberFormat="1" applyFont="1" applyFill="1" applyBorder="1"/>
    <xf numFmtId="41" fontId="15" fillId="0" borderId="16" xfId="0" applyNumberFormat="1" applyFont="1" applyFill="1" applyBorder="1"/>
    <xf numFmtId="10" fontId="15" fillId="0" borderId="0" xfId="121" applyNumberFormat="1" applyFont="1" applyFill="1" applyBorder="1" applyAlignment="1">
      <alignment horizontal="center"/>
    </xf>
    <xf numFmtId="41" fontId="15" fillId="0" borderId="17" xfId="0" applyNumberFormat="1" applyFont="1" applyFill="1" applyBorder="1"/>
    <xf numFmtId="41" fontId="15" fillId="0" borderId="0" xfId="0" applyNumberFormat="1" applyFont="1" applyFill="1" applyBorder="1"/>
    <xf numFmtId="41" fontId="15" fillId="0" borderId="24" xfId="0" applyNumberFormat="1" applyFont="1" applyFill="1" applyBorder="1"/>
    <xf numFmtId="38" fontId="4" fillId="0" borderId="61" xfId="0" applyNumberFormat="1" applyFont="1" applyFill="1" applyBorder="1"/>
    <xf numFmtId="38" fontId="4" fillId="0" borderId="62" xfId="0" applyNumberFormat="1" applyFont="1" applyFill="1" applyBorder="1"/>
    <xf numFmtId="3" fontId="13" fillId="0" borderId="13" xfId="0" applyNumberFormat="1" applyFont="1" applyFill="1" applyBorder="1" applyAlignment="1">
      <alignment horizontal="right"/>
    </xf>
    <xf numFmtId="10" fontId="4" fillId="0" borderId="12" xfId="121" applyNumberFormat="1" applyFont="1" applyFill="1" applyBorder="1" applyAlignment="1">
      <alignment horizontal="center"/>
    </xf>
    <xf numFmtId="41" fontId="4" fillId="0" borderId="16" xfId="0" applyNumberFormat="1" applyFont="1" applyBorder="1" applyAlignment="1">
      <alignment horizontal="center" wrapText="1"/>
    </xf>
    <xf numFmtId="41" fontId="4" fillId="0" borderId="13" xfId="0" applyNumberFormat="1" applyFont="1" applyBorder="1" applyAlignment="1">
      <alignment horizontal="center" wrapText="1"/>
    </xf>
    <xf numFmtId="10" fontId="4" fillId="0" borderId="10" xfId="0" applyNumberFormat="1" applyFont="1" applyFill="1" applyBorder="1" applyAlignment="1">
      <alignment horizontal="center" wrapText="1"/>
    </xf>
    <xf numFmtId="10" fontId="4" fillId="0" borderId="14" xfId="0" applyNumberFormat="1" applyFont="1" applyFill="1" applyBorder="1" applyAlignment="1">
      <alignment horizontal="center" wrapText="1"/>
    </xf>
    <xf numFmtId="41" fontId="4" fillId="0" borderId="31" xfId="0" applyNumberFormat="1" applyFont="1" applyBorder="1" applyAlignment="1">
      <alignment horizontal="center" wrapText="1"/>
    </xf>
    <xf numFmtId="41" fontId="4" fillId="0" borderId="16" xfId="0" applyNumberFormat="1" applyFont="1" applyFill="1" applyBorder="1" applyAlignment="1">
      <alignment horizontal="center" wrapText="1"/>
    </xf>
    <xf numFmtId="41" fontId="4" fillId="0" borderId="13" xfId="0" applyNumberFormat="1" applyFont="1" applyFill="1" applyBorder="1" applyAlignment="1">
      <alignment horizontal="center" wrapText="1"/>
    </xf>
    <xf numFmtId="41" fontId="4" fillId="0" borderId="64" xfId="0" applyNumberFormat="1" applyFont="1" applyFill="1" applyBorder="1" applyAlignment="1">
      <alignment horizontal="center" wrapText="1"/>
    </xf>
    <xf numFmtId="41" fontId="4" fillId="0" borderId="59" xfId="0" applyNumberFormat="1" applyFont="1" applyFill="1" applyBorder="1" applyAlignment="1">
      <alignment horizontal="center" wrapText="1"/>
    </xf>
    <xf numFmtId="41" fontId="4" fillId="0" borderId="31" xfId="0" applyNumberFormat="1" applyFont="1" applyFill="1" applyBorder="1" applyAlignment="1">
      <alignment horizontal="center" wrapText="1"/>
    </xf>
    <xf numFmtId="41" fontId="4" fillId="31" borderId="16" xfId="0" applyNumberFormat="1" applyFont="1" applyFill="1" applyBorder="1" applyAlignment="1">
      <alignment horizontal="center"/>
    </xf>
    <xf numFmtId="41" fontId="4" fillId="0" borderId="20" xfId="0" applyNumberFormat="1" applyFont="1" applyFill="1" applyBorder="1" applyAlignment="1">
      <alignment horizontal="center" wrapText="1"/>
    </xf>
    <xf numFmtId="41" fontId="4" fillId="0" borderId="27" xfId="0" applyNumberFormat="1" applyFont="1" applyFill="1" applyBorder="1" applyAlignment="1">
      <alignment horizontal="center" wrapText="1"/>
    </xf>
    <xf numFmtId="10" fontId="4" fillId="0" borderId="11" xfId="0" applyNumberFormat="1" applyFont="1" applyFill="1" applyBorder="1" applyAlignment="1">
      <alignment horizontal="center" wrapText="1"/>
    </xf>
    <xf numFmtId="10" fontId="4" fillId="0" borderId="15" xfId="0" applyNumberFormat="1" applyFont="1" applyFill="1" applyBorder="1" applyAlignment="1">
      <alignment horizontal="center" wrapText="1"/>
    </xf>
    <xf numFmtId="10" fontId="4" fillId="0" borderId="25" xfId="0" applyNumberFormat="1" applyFont="1" applyFill="1" applyBorder="1" applyAlignment="1">
      <alignment horizontal="center" wrapText="1"/>
    </xf>
    <xf numFmtId="41" fontId="4" fillId="75" borderId="31" xfId="0" applyNumberFormat="1" applyFont="1" applyFill="1" applyBorder="1" applyAlignment="1">
      <alignment horizontal="center"/>
    </xf>
    <xf numFmtId="41" fontId="4" fillId="75" borderId="16" xfId="0" applyNumberFormat="1" applyFont="1" applyFill="1" applyBorder="1" applyAlignment="1">
      <alignment horizontal="center"/>
    </xf>
    <xf numFmtId="41" fontId="4" fillId="75" borderId="13" xfId="0" applyNumberFormat="1" applyFont="1" applyFill="1" applyBorder="1" applyAlignment="1">
      <alignment horizontal="center"/>
    </xf>
    <xf numFmtId="41" fontId="4" fillId="35" borderId="31" xfId="0" applyNumberFormat="1" applyFont="1" applyFill="1" applyBorder="1" applyAlignment="1">
      <alignment horizontal="center"/>
    </xf>
    <xf numFmtId="41" fontId="4" fillId="35" borderId="16" xfId="0" applyNumberFormat="1" applyFont="1" applyFill="1" applyBorder="1" applyAlignment="1">
      <alignment horizontal="center"/>
    </xf>
    <xf numFmtId="41" fontId="4" fillId="35" borderId="13" xfId="0" applyNumberFormat="1" applyFont="1" applyFill="1" applyBorder="1" applyAlignment="1">
      <alignment horizontal="center"/>
    </xf>
    <xf numFmtId="41" fontId="4" fillId="33" borderId="31" xfId="0" applyNumberFormat="1" applyFont="1" applyFill="1" applyBorder="1" applyAlignment="1">
      <alignment horizontal="center"/>
    </xf>
    <xf numFmtId="41" fontId="4" fillId="33" borderId="16" xfId="0" applyNumberFormat="1" applyFont="1" applyFill="1" applyBorder="1" applyAlignment="1">
      <alignment horizontal="center"/>
    </xf>
    <xf numFmtId="41" fontId="4" fillId="33" borderId="13" xfId="0" applyNumberFormat="1" applyFont="1" applyFill="1" applyBorder="1" applyAlignment="1">
      <alignment horizontal="center"/>
    </xf>
    <xf numFmtId="10" fontId="4" fillId="0" borderId="26" xfId="0" applyNumberFormat="1" applyFont="1" applyFill="1" applyBorder="1" applyAlignment="1">
      <alignment horizontal="center" wrapText="1"/>
    </xf>
    <xf numFmtId="41" fontId="4" fillId="27" borderId="16" xfId="0" applyNumberFormat="1" applyFont="1" applyFill="1" applyBorder="1" applyAlignment="1">
      <alignment horizontal="center"/>
    </xf>
    <xf numFmtId="41" fontId="4" fillId="28" borderId="16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88" fillId="0" borderId="0" xfId="259" applyFont="1" applyAlignment="1">
      <alignment horizontal="left" vertical="center" wrapText="1"/>
    </xf>
    <xf numFmtId="17" fontId="4" fillId="0" borderId="0" xfId="0" applyNumberFormat="1" applyFont="1" applyFill="1" applyBorder="1" applyAlignment="1">
      <alignment horizontal="center"/>
    </xf>
    <xf numFmtId="41" fontId="4" fillId="0" borderId="16" xfId="0" applyNumberFormat="1" applyFont="1" applyBorder="1" applyAlignment="1">
      <alignment horizontal="center" wrapText="1"/>
    </xf>
    <xf numFmtId="41" fontId="4" fillId="0" borderId="13" xfId="0" applyNumberFormat="1" applyFont="1" applyBorder="1" applyAlignment="1">
      <alignment horizontal="center" wrapText="1"/>
    </xf>
    <xf numFmtId="41" fontId="4" fillId="27" borderId="18" xfId="0" applyNumberFormat="1" applyFont="1" applyFill="1" applyBorder="1" applyAlignment="1">
      <alignment horizontal="center"/>
    </xf>
    <xf numFmtId="41" fontId="4" fillId="27" borderId="12" xfId="0" applyNumberFormat="1" applyFont="1" applyFill="1" applyBorder="1" applyAlignment="1">
      <alignment horizontal="center"/>
    </xf>
    <xf numFmtId="41" fontId="4" fillId="27" borderId="23" xfId="0" applyNumberFormat="1" applyFont="1" applyFill="1" applyBorder="1" applyAlignment="1">
      <alignment horizontal="center"/>
    </xf>
    <xf numFmtId="41" fontId="4" fillId="0" borderId="32" xfId="0" applyNumberFormat="1" applyFont="1" applyFill="1" applyBorder="1" applyAlignment="1">
      <alignment horizontal="center" wrapText="1"/>
    </xf>
    <xf numFmtId="41" fontId="4" fillId="0" borderId="18" xfId="0" applyNumberFormat="1" applyFont="1" applyFill="1" applyBorder="1" applyAlignment="1">
      <alignment horizontal="center" wrapText="1"/>
    </xf>
    <xf numFmtId="41" fontId="4" fillId="0" borderId="64" xfId="0" applyNumberFormat="1" applyFont="1" applyFill="1" applyBorder="1" applyAlignment="1">
      <alignment horizontal="center" wrapText="1"/>
    </xf>
    <xf numFmtId="41" fontId="4" fillId="0" borderId="59" xfId="0" applyNumberFormat="1" applyFont="1" applyFill="1" applyBorder="1" applyAlignment="1">
      <alignment horizontal="center" wrapText="1"/>
    </xf>
    <xf numFmtId="41" fontId="4" fillId="0" borderId="33" xfId="0" applyNumberFormat="1" applyFont="1" applyFill="1" applyBorder="1" applyAlignment="1">
      <alignment horizontal="center" wrapText="1"/>
    </xf>
    <xf numFmtId="41" fontId="4" fillId="0" borderId="23" xfId="0" applyNumberFormat="1" applyFont="1" applyFill="1" applyBorder="1" applyAlignment="1">
      <alignment horizontal="center" wrapText="1"/>
    </xf>
    <xf numFmtId="41" fontId="4" fillId="0" borderId="17" xfId="0" applyNumberFormat="1" applyFont="1" applyFill="1" applyBorder="1" applyAlignment="1">
      <alignment horizontal="center" wrapText="1"/>
    </xf>
    <xf numFmtId="41" fontId="4" fillId="0" borderId="12" xfId="0" applyNumberFormat="1" applyFont="1" applyFill="1" applyBorder="1" applyAlignment="1">
      <alignment horizontal="center" wrapText="1"/>
    </xf>
    <xf numFmtId="41" fontId="4" fillId="28" borderId="18" xfId="0" applyNumberFormat="1" applyFont="1" applyFill="1" applyBorder="1" applyAlignment="1">
      <alignment horizontal="center"/>
    </xf>
    <xf numFmtId="41" fontId="4" fillId="28" borderId="12" xfId="0" applyNumberFormat="1" applyFont="1" applyFill="1" applyBorder="1" applyAlignment="1">
      <alignment horizontal="center"/>
    </xf>
    <xf numFmtId="41" fontId="4" fillId="28" borderId="23" xfId="0" applyNumberFormat="1" applyFont="1" applyFill="1" applyBorder="1" applyAlignment="1">
      <alignment horizontal="center"/>
    </xf>
    <xf numFmtId="41" fontId="4" fillId="0" borderId="16" xfId="0" applyNumberFormat="1" applyFont="1" applyFill="1" applyBorder="1" applyAlignment="1">
      <alignment horizontal="center" wrapText="1"/>
    </xf>
    <xf numFmtId="41" fontId="4" fillId="0" borderId="13" xfId="0" applyNumberFormat="1" applyFont="1" applyFill="1" applyBorder="1" applyAlignment="1">
      <alignment horizontal="center" wrapText="1"/>
    </xf>
    <xf numFmtId="41" fontId="4" fillId="0" borderId="24" xfId="0" applyNumberFormat="1" applyFont="1" applyBorder="1" applyAlignment="1">
      <alignment horizontal="center" wrapText="1"/>
    </xf>
    <xf numFmtId="41" fontId="4" fillId="0" borderId="23" xfId="0" applyNumberFormat="1" applyFont="1" applyBorder="1" applyAlignment="1">
      <alignment horizontal="center" wrapText="1"/>
    </xf>
    <xf numFmtId="41" fontId="4" fillId="0" borderId="0" xfId="0" applyNumberFormat="1" applyFont="1" applyBorder="1" applyAlignment="1">
      <alignment horizontal="center" wrapText="1"/>
    </xf>
    <xf numFmtId="41" fontId="4" fillId="0" borderId="12" xfId="0" applyNumberFormat="1" applyFont="1" applyBorder="1" applyAlignment="1">
      <alignment horizontal="center" wrapText="1"/>
    </xf>
    <xf numFmtId="10" fontId="4" fillId="0" borderId="24" xfId="0" applyNumberFormat="1" applyFont="1" applyFill="1" applyBorder="1" applyAlignment="1">
      <alignment horizontal="center" wrapText="1"/>
    </xf>
    <xf numFmtId="10" fontId="4" fillId="0" borderId="23" xfId="0" applyNumberFormat="1" applyFont="1" applyFill="1" applyBorder="1" applyAlignment="1">
      <alignment horizontal="center" wrapText="1"/>
    </xf>
    <xf numFmtId="10" fontId="4" fillId="0" borderId="10" xfId="0" applyNumberFormat="1" applyFont="1" applyFill="1" applyBorder="1" applyAlignment="1">
      <alignment horizontal="center" wrapText="1"/>
    </xf>
    <xf numFmtId="10" fontId="4" fillId="0" borderId="14" xfId="0" applyNumberFormat="1" applyFont="1" applyFill="1" applyBorder="1" applyAlignment="1">
      <alignment horizontal="center" wrapText="1"/>
    </xf>
    <xf numFmtId="183" fontId="4" fillId="85" borderId="32" xfId="0" applyNumberFormat="1" applyFont="1" applyFill="1" applyBorder="1" applyAlignment="1">
      <alignment horizontal="center"/>
    </xf>
    <xf numFmtId="183" fontId="4" fillId="85" borderId="20" xfId="0" applyNumberFormat="1" applyFont="1" applyFill="1" applyBorder="1" applyAlignment="1">
      <alignment horizontal="center"/>
    </xf>
    <xf numFmtId="183" fontId="4" fillId="85" borderId="27" xfId="0" applyNumberFormat="1" applyFont="1" applyFill="1" applyBorder="1" applyAlignment="1">
      <alignment horizontal="center"/>
    </xf>
    <xf numFmtId="183" fontId="4" fillId="86" borderId="32" xfId="0" applyNumberFormat="1" applyFont="1" applyFill="1" applyBorder="1" applyAlignment="1">
      <alignment horizontal="center"/>
    </xf>
    <xf numFmtId="183" fontId="4" fillId="86" borderId="20" xfId="0" applyNumberFormat="1" applyFont="1" applyFill="1" applyBorder="1" applyAlignment="1">
      <alignment horizontal="center"/>
    </xf>
    <xf numFmtId="183" fontId="4" fillId="86" borderId="27" xfId="0" applyNumberFormat="1" applyFont="1" applyFill="1" applyBorder="1" applyAlignment="1">
      <alignment horizontal="center"/>
    </xf>
    <xf numFmtId="41" fontId="4" fillId="0" borderId="33" xfId="0" applyNumberFormat="1" applyFont="1" applyBorder="1" applyAlignment="1">
      <alignment horizontal="center" wrapText="1"/>
    </xf>
    <xf numFmtId="41" fontId="4" fillId="0" borderId="31" xfId="0" applyNumberFormat="1" applyFont="1" applyFill="1" applyBorder="1" applyAlignment="1">
      <alignment horizontal="center" wrapText="1"/>
    </xf>
    <xf numFmtId="10" fontId="4" fillId="0" borderId="25" xfId="0" applyNumberFormat="1" applyFont="1" applyFill="1" applyBorder="1" applyAlignment="1">
      <alignment horizontal="center" wrapText="1"/>
    </xf>
    <xf numFmtId="10" fontId="4" fillId="0" borderId="33" xfId="0" applyNumberFormat="1" applyFont="1" applyFill="1" applyBorder="1" applyAlignment="1">
      <alignment horizontal="center" wrapText="1"/>
    </xf>
    <xf numFmtId="41" fontId="4" fillId="0" borderId="20" xfId="0" applyNumberFormat="1" applyFont="1" applyFill="1" applyBorder="1" applyAlignment="1">
      <alignment horizontal="center" wrapText="1"/>
    </xf>
    <xf numFmtId="41" fontId="4" fillId="0" borderId="27" xfId="0" applyNumberFormat="1" applyFont="1" applyFill="1" applyBorder="1" applyAlignment="1">
      <alignment horizontal="center" wrapText="1"/>
    </xf>
    <xf numFmtId="183" fontId="4" fillId="77" borderId="32" xfId="0" applyNumberFormat="1" applyFont="1" applyFill="1" applyBorder="1" applyAlignment="1">
      <alignment horizontal="center"/>
    </xf>
    <xf numFmtId="183" fontId="4" fillId="77" borderId="20" xfId="0" applyNumberFormat="1" applyFont="1" applyFill="1" applyBorder="1" applyAlignment="1">
      <alignment horizontal="center"/>
    </xf>
    <xf numFmtId="183" fontId="4" fillId="77" borderId="27" xfId="0" applyNumberFormat="1" applyFont="1" applyFill="1" applyBorder="1" applyAlignment="1">
      <alignment horizontal="center"/>
    </xf>
    <xf numFmtId="41" fontId="4" fillId="0" borderId="31" xfId="0" applyNumberFormat="1" applyFont="1" applyBorder="1" applyAlignment="1">
      <alignment horizontal="center" wrapText="1"/>
    </xf>
    <xf numFmtId="183" fontId="4" fillId="74" borderId="32" xfId="0" quotePrefix="1" applyNumberFormat="1" applyFont="1" applyFill="1" applyBorder="1" applyAlignment="1">
      <alignment horizontal="center"/>
    </xf>
    <xf numFmtId="183" fontId="4" fillId="74" borderId="20" xfId="0" applyNumberFormat="1" applyFont="1" applyFill="1" applyBorder="1" applyAlignment="1">
      <alignment horizontal="center"/>
    </xf>
    <xf numFmtId="183" fontId="4" fillId="74" borderId="27" xfId="0" applyNumberFormat="1" applyFont="1" applyFill="1" applyBorder="1" applyAlignment="1">
      <alignment horizontal="center"/>
    </xf>
    <xf numFmtId="41" fontId="4" fillId="74" borderId="18" xfId="0" applyNumberFormat="1" applyFont="1" applyFill="1" applyBorder="1" applyAlignment="1">
      <alignment horizontal="center"/>
    </xf>
    <xf numFmtId="41" fontId="4" fillId="74" borderId="12" xfId="0" applyNumberFormat="1" applyFont="1" applyFill="1" applyBorder="1" applyAlignment="1">
      <alignment horizontal="center"/>
    </xf>
    <xf numFmtId="41" fontId="4" fillId="74" borderId="23" xfId="0" applyNumberFormat="1" applyFont="1" applyFill="1" applyBorder="1" applyAlignment="1">
      <alignment horizontal="center"/>
    </xf>
    <xf numFmtId="41" fontId="4" fillId="29" borderId="18" xfId="0" applyNumberFormat="1" applyFont="1" applyFill="1" applyBorder="1" applyAlignment="1">
      <alignment horizontal="center"/>
    </xf>
    <xf numFmtId="41" fontId="4" fillId="29" borderId="12" xfId="0" applyNumberFormat="1" applyFont="1" applyFill="1" applyBorder="1" applyAlignment="1">
      <alignment horizontal="center"/>
    </xf>
    <xf numFmtId="41" fontId="4" fillId="29" borderId="23" xfId="0" applyNumberFormat="1" applyFont="1" applyFill="1" applyBorder="1" applyAlignment="1">
      <alignment horizontal="center"/>
    </xf>
    <xf numFmtId="41" fontId="4" fillId="74" borderId="32" xfId="0" applyNumberFormat="1" applyFont="1" applyFill="1" applyBorder="1" applyAlignment="1">
      <alignment horizontal="center"/>
    </xf>
    <xf numFmtId="41" fontId="4" fillId="74" borderId="21" xfId="0" applyNumberFormat="1" applyFont="1" applyFill="1" applyBorder="1" applyAlignment="1">
      <alignment horizontal="center"/>
    </xf>
    <xf numFmtId="41" fontId="4" fillId="74" borderId="33" xfId="0" applyNumberFormat="1" applyFont="1" applyFill="1" applyBorder="1" applyAlignment="1">
      <alignment horizontal="center"/>
    </xf>
    <xf numFmtId="41" fontId="4" fillId="74" borderId="31" xfId="0" quotePrefix="1" applyNumberFormat="1" applyFont="1" applyFill="1" applyBorder="1" applyAlignment="1">
      <alignment horizontal="center"/>
    </xf>
    <xf numFmtId="41" fontId="4" fillId="74" borderId="16" xfId="0" quotePrefix="1" applyNumberFormat="1" applyFont="1" applyFill="1" applyBorder="1" applyAlignment="1">
      <alignment horizontal="center"/>
    </xf>
    <xf numFmtId="41" fontId="4" fillId="74" borderId="13" xfId="0" quotePrefix="1" applyNumberFormat="1" applyFont="1" applyFill="1" applyBorder="1" applyAlignment="1">
      <alignment horizontal="center"/>
    </xf>
    <xf numFmtId="41" fontId="4" fillId="29" borderId="32" xfId="0" applyNumberFormat="1" applyFont="1" applyFill="1" applyBorder="1" applyAlignment="1">
      <alignment horizontal="center"/>
    </xf>
    <xf numFmtId="41" fontId="4" fillId="29" borderId="21" xfId="0" applyNumberFormat="1" applyFont="1" applyFill="1" applyBorder="1" applyAlignment="1">
      <alignment horizontal="center"/>
    </xf>
    <xf numFmtId="41" fontId="4" fillId="29" borderId="33" xfId="0" applyNumberFormat="1" applyFont="1" applyFill="1" applyBorder="1" applyAlignment="1">
      <alignment horizontal="center"/>
    </xf>
    <xf numFmtId="183" fontId="4" fillId="83" borderId="32" xfId="0" applyNumberFormat="1" applyFont="1" applyFill="1" applyBorder="1" applyAlignment="1">
      <alignment horizontal="center"/>
    </xf>
    <xf numFmtId="183" fontId="4" fillId="83" borderId="20" xfId="0" applyNumberFormat="1" applyFont="1" applyFill="1" applyBorder="1" applyAlignment="1">
      <alignment horizontal="center"/>
    </xf>
    <xf numFmtId="183" fontId="4" fillId="83" borderId="27" xfId="0" applyNumberFormat="1" applyFont="1" applyFill="1" applyBorder="1" applyAlignment="1">
      <alignment horizontal="center"/>
    </xf>
    <xf numFmtId="183" fontId="4" fillId="84" borderId="32" xfId="0" applyNumberFormat="1" applyFont="1" applyFill="1" applyBorder="1" applyAlignment="1">
      <alignment horizontal="center"/>
    </xf>
    <xf numFmtId="183" fontId="4" fillId="84" borderId="20" xfId="0" applyNumberFormat="1" applyFont="1" applyFill="1" applyBorder="1" applyAlignment="1">
      <alignment horizontal="center"/>
    </xf>
    <xf numFmtId="183" fontId="4" fillId="84" borderId="27" xfId="0" applyNumberFormat="1" applyFont="1" applyFill="1" applyBorder="1" applyAlignment="1">
      <alignment horizontal="center"/>
    </xf>
    <xf numFmtId="41" fontId="4" fillId="28" borderId="31" xfId="0" applyNumberFormat="1" applyFont="1" applyFill="1" applyBorder="1" applyAlignment="1">
      <alignment horizontal="center"/>
    </xf>
    <xf numFmtId="41" fontId="4" fillId="28" borderId="16" xfId="0" applyNumberFormat="1" applyFont="1" applyFill="1" applyBorder="1" applyAlignment="1">
      <alignment horizontal="center"/>
    </xf>
    <xf numFmtId="41" fontId="4" fillId="28" borderId="13" xfId="0" applyNumberFormat="1" applyFont="1" applyFill="1" applyBorder="1" applyAlignment="1">
      <alignment horizontal="center"/>
    </xf>
    <xf numFmtId="183" fontId="4" fillId="81" borderId="65" xfId="0" applyNumberFormat="1" applyFont="1" applyFill="1" applyBorder="1" applyAlignment="1">
      <alignment horizontal="center"/>
    </xf>
    <xf numFmtId="183" fontId="4" fillId="81" borderId="20" xfId="0" applyNumberFormat="1" applyFont="1" applyFill="1" applyBorder="1" applyAlignment="1">
      <alignment horizontal="center"/>
    </xf>
    <xf numFmtId="183" fontId="4" fillId="81" borderId="21" xfId="0" applyNumberFormat="1" applyFont="1" applyFill="1" applyBorder="1" applyAlignment="1">
      <alignment horizontal="center"/>
    </xf>
    <xf numFmtId="183" fontId="4" fillId="81" borderId="33" xfId="0" applyNumberFormat="1" applyFont="1" applyFill="1" applyBorder="1" applyAlignment="1">
      <alignment horizontal="center"/>
    </xf>
    <xf numFmtId="183" fontId="4" fillId="82" borderId="65" xfId="0" applyNumberFormat="1" applyFont="1" applyFill="1" applyBorder="1" applyAlignment="1">
      <alignment horizontal="center"/>
    </xf>
    <xf numFmtId="183" fontId="4" fillId="82" borderId="20" xfId="0" applyNumberFormat="1" applyFont="1" applyFill="1" applyBorder="1" applyAlignment="1">
      <alignment horizontal="center"/>
    </xf>
    <xf numFmtId="183" fontId="4" fillId="82" borderId="27" xfId="0" applyNumberFormat="1" applyFont="1" applyFill="1" applyBorder="1" applyAlignment="1">
      <alignment horizontal="center"/>
    </xf>
    <xf numFmtId="41" fontId="4" fillId="26" borderId="31" xfId="0" applyNumberFormat="1" applyFont="1" applyFill="1" applyBorder="1" applyAlignment="1">
      <alignment horizontal="center"/>
    </xf>
    <xf numFmtId="41" fontId="4" fillId="26" borderId="16" xfId="0" applyNumberFormat="1" applyFont="1" applyFill="1" applyBorder="1" applyAlignment="1">
      <alignment horizontal="center"/>
    </xf>
    <xf numFmtId="41" fontId="4" fillId="26" borderId="13" xfId="0" applyNumberFormat="1" applyFont="1" applyFill="1" applyBorder="1" applyAlignment="1">
      <alignment horizontal="center"/>
    </xf>
    <xf numFmtId="10" fontId="4" fillId="0" borderId="26" xfId="0" applyNumberFormat="1" applyFont="1" applyFill="1" applyBorder="1" applyAlignment="1">
      <alignment horizontal="center" wrapText="1"/>
    </xf>
    <xf numFmtId="10" fontId="4" fillId="0" borderId="11" xfId="0" applyNumberFormat="1" applyFont="1" applyFill="1" applyBorder="1" applyAlignment="1">
      <alignment horizontal="center" wrapText="1"/>
    </xf>
    <xf numFmtId="10" fontId="4" fillId="0" borderId="15" xfId="0" applyNumberFormat="1" applyFont="1" applyFill="1" applyBorder="1" applyAlignment="1">
      <alignment horizontal="center" wrapText="1"/>
    </xf>
    <xf numFmtId="3" fontId="4" fillId="0" borderId="31" xfId="0" applyNumberFormat="1" applyFont="1" applyFill="1" applyBorder="1" applyAlignment="1">
      <alignment horizontal="center" wrapText="1"/>
    </xf>
    <xf numFmtId="3" fontId="4" fillId="0" borderId="16" xfId="0" applyNumberFormat="1" applyFont="1" applyFill="1" applyBorder="1" applyAlignment="1">
      <alignment horizontal="center" wrapText="1"/>
    </xf>
    <xf numFmtId="3" fontId="4" fillId="0" borderId="13" xfId="0" applyNumberFormat="1" applyFont="1" applyFill="1" applyBorder="1" applyAlignment="1">
      <alignment horizontal="center" wrapText="1"/>
    </xf>
    <xf numFmtId="41" fontId="4" fillId="27" borderId="31" xfId="0" applyNumberFormat="1" applyFont="1" applyFill="1" applyBorder="1" applyAlignment="1">
      <alignment horizontal="center"/>
    </xf>
    <xf numFmtId="41" fontId="4" fillId="27" borderId="16" xfId="0" applyNumberFormat="1" applyFont="1" applyFill="1" applyBorder="1" applyAlignment="1">
      <alignment horizontal="center"/>
    </xf>
    <xf numFmtId="41" fontId="4" fillId="27" borderId="13" xfId="0" applyNumberFormat="1" applyFont="1" applyFill="1" applyBorder="1" applyAlignment="1">
      <alignment horizontal="center"/>
    </xf>
    <xf numFmtId="183" fontId="4" fillId="78" borderId="32" xfId="0" applyNumberFormat="1" applyFont="1" applyFill="1" applyBorder="1" applyAlignment="1">
      <alignment horizontal="center"/>
    </xf>
    <xf numFmtId="183" fontId="4" fillId="78" borderId="20" xfId="0" applyNumberFormat="1" applyFont="1" applyFill="1" applyBorder="1" applyAlignment="1">
      <alignment horizontal="center"/>
    </xf>
    <xf numFmtId="183" fontId="4" fillId="78" borderId="27" xfId="0" applyNumberFormat="1" applyFont="1" applyFill="1" applyBorder="1" applyAlignment="1">
      <alignment horizontal="center"/>
    </xf>
    <xf numFmtId="183" fontId="4" fillId="79" borderId="65" xfId="0" applyNumberFormat="1" applyFont="1" applyFill="1" applyBorder="1" applyAlignment="1">
      <alignment horizontal="center"/>
    </xf>
    <xf numFmtId="183" fontId="4" fillId="79" borderId="20" xfId="0" applyNumberFormat="1" applyFont="1" applyFill="1" applyBorder="1" applyAlignment="1">
      <alignment horizontal="center"/>
    </xf>
    <xf numFmtId="183" fontId="4" fillId="79" borderId="27" xfId="0" applyNumberFormat="1" applyFont="1" applyFill="1" applyBorder="1" applyAlignment="1">
      <alignment horizontal="center"/>
    </xf>
    <xf numFmtId="183" fontId="4" fillId="80" borderId="32" xfId="0" applyNumberFormat="1" applyFont="1" applyFill="1" applyBorder="1" applyAlignment="1">
      <alignment horizontal="center"/>
    </xf>
    <xf numFmtId="183" fontId="4" fillId="80" borderId="20" xfId="0" applyNumberFormat="1" applyFont="1" applyFill="1" applyBorder="1" applyAlignment="1">
      <alignment horizontal="center"/>
    </xf>
    <xf numFmtId="183" fontId="4" fillId="80" borderId="27" xfId="0" applyNumberFormat="1" applyFont="1" applyFill="1" applyBorder="1" applyAlignment="1">
      <alignment horizontal="center"/>
    </xf>
    <xf numFmtId="41" fontId="4" fillId="32" borderId="31" xfId="65" applyNumberFormat="1" applyFont="1" applyFill="1" applyBorder="1" applyAlignment="1">
      <alignment horizontal="center"/>
    </xf>
    <xf numFmtId="41" fontId="4" fillId="32" borderId="16" xfId="65" applyNumberFormat="1" applyFont="1" applyFill="1" applyBorder="1" applyAlignment="1">
      <alignment horizontal="center"/>
    </xf>
    <xf numFmtId="41" fontId="4" fillId="32" borderId="13" xfId="65" applyNumberFormat="1" applyFont="1" applyFill="1" applyBorder="1" applyAlignment="1">
      <alignment horizontal="center"/>
    </xf>
    <xf numFmtId="41" fontId="4" fillId="33" borderId="31" xfId="0" applyNumberFormat="1" applyFont="1" applyFill="1" applyBorder="1" applyAlignment="1">
      <alignment horizontal="center"/>
    </xf>
    <xf numFmtId="41" fontId="4" fillId="33" borderId="16" xfId="0" applyNumberFormat="1" applyFont="1" applyFill="1" applyBorder="1" applyAlignment="1">
      <alignment horizontal="center"/>
    </xf>
    <xf numFmtId="41" fontId="4" fillId="33" borderId="13" xfId="0" applyNumberFormat="1" applyFont="1" applyFill="1" applyBorder="1" applyAlignment="1">
      <alignment horizontal="center"/>
    </xf>
    <xf numFmtId="183" fontId="4" fillId="75" borderId="65" xfId="0" applyNumberFormat="1" applyFont="1" applyFill="1" applyBorder="1" applyAlignment="1">
      <alignment horizontal="center"/>
    </xf>
    <xf numFmtId="183" fontId="4" fillId="75" borderId="20" xfId="0" applyNumberFormat="1" applyFont="1" applyFill="1" applyBorder="1" applyAlignment="1">
      <alignment horizontal="center"/>
    </xf>
    <xf numFmtId="183" fontId="4" fillId="75" borderId="27" xfId="0" applyNumberFormat="1" applyFont="1" applyFill="1" applyBorder="1" applyAlignment="1">
      <alignment horizontal="center"/>
    </xf>
    <xf numFmtId="41" fontId="4" fillId="75" borderId="31" xfId="0" applyNumberFormat="1" applyFont="1" applyFill="1" applyBorder="1" applyAlignment="1">
      <alignment horizontal="center"/>
    </xf>
    <xf numFmtId="41" fontId="4" fillId="75" borderId="16" xfId="0" applyNumberFormat="1" applyFont="1" applyFill="1" applyBorder="1" applyAlignment="1">
      <alignment horizontal="center"/>
    </xf>
    <xf numFmtId="41" fontId="4" fillId="75" borderId="13" xfId="0" applyNumberFormat="1" applyFont="1" applyFill="1" applyBorder="1" applyAlignment="1">
      <alignment horizontal="center"/>
    </xf>
    <xf numFmtId="41" fontId="4" fillId="35" borderId="31" xfId="0" applyNumberFormat="1" applyFont="1" applyFill="1" applyBorder="1" applyAlignment="1">
      <alignment horizontal="center"/>
    </xf>
    <xf numFmtId="41" fontId="4" fillId="35" borderId="16" xfId="0" applyNumberFormat="1" applyFont="1" applyFill="1" applyBorder="1" applyAlignment="1">
      <alignment horizontal="center"/>
    </xf>
    <xf numFmtId="41" fontId="4" fillId="35" borderId="13" xfId="0" applyNumberFormat="1" applyFont="1" applyFill="1" applyBorder="1" applyAlignment="1">
      <alignment horizontal="center"/>
    </xf>
    <xf numFmtId="184" fontId="4" fillId="0" borderId="18" xfId="0" applyNumberFormat="1" applyFont="1" applyFill="1" applyBorder="1" applyAlignment="1">
      <alignment horizontal="center"/>
    </xf>
    <xf numFmtId="184" fontId="4" fillId="0" borderId="12" xfId="0" applyNumberFormat="1" applyFont="1" applyFill="1" applyBorder="1" applyAlignment="1">
      <alignment horizontal="center"/>
    </xf>
    <xf numFmtId="184" fontId="4" fillId="0" borderId="23" xfId="0" applyNumberFormat="1" applyFont="1" applyFill="1" applyBorder="1" applyAlignment="1">
      <alignment horizontal="center"/>
    </xf>
    <xf numFmtId="41" fontId="4" fillId="27" borderId="32" xfId="0" applyNumberFormat="1" applyFont="1" applyFill="1" applyBorder="1" applyAlignment="1">
      <alignment horizontal="center"/>
    </xf>
    <xf numFmtId="41" fontId="4" fillId="27" borderId="21" xfId="0" applyNumberFormat="1" applyFont="1" applyFill="1" applyBorder="1" applyAlignment="1">
      <alignment horizontal="center"/>
    </xf>
    <xf numFmtId="41" fontId="4" fillId="27" borderId="33" xfId="0" applyNumberFormat="1" applyFont="1" applyFill="1" applyBorder="1" applyAlignment="1">
      <alignment horizontal="center"/>
    </xf>
    <xf numFmtId="41" fontId="4" fillId="28" borderId="32" xfId="0" applyNumberFormat="1" applyFont="1" applyFill="1" applyBorder="1" applyAlignment="1">
      <alignment horizontal="center"/>
    </xf>
    <xf numFmtId="41" fontId="4" fillId="28" borderId="21" xfId="0" applyNumberFormat="1" applyFont="1" applyFill="1" applyBorder="1" applyAlignment="1">
      <alignment horizontal="center"/>
    </xf>
    <xf numFmtId="41" fontId="4" fillId="28" borderId="33" xfId="0" applyNumberFormat="1" applyFont="1" applyFill="1" applyBorder="1" applyAlignment="1">
      <alignment horizontal="center"/>
    </xf>
    <xf numFmtId="184" fontId="4" fillId="0" borderId="32" xfId="0" applyNumberFormat="1" applyFont="1" applyFill="1" applyBorder="1" applyAlignment="1">
      <alignment horizontal="center"/>
    </xf>
    <xf numFmtId="184" fontId="4" fillId="0" borderId="21" xfId="0" applyNumberFormat="1" applyFont="1" applyFill="1" applyBorder="1" applyAlignment="1">
      <alignment horizontal="center"/>
    </xf>
    <xf numFmtId="184" fontId="4" fillId="0" borderId="33" xfId="0" applyNumberFormat="1" applyFont="1" applyFill="1" applyBorder="1" applyAlignment="1">
      <alignment horizontal="center"/>
    </xf>
    <xf numFmtId="41" fontId="4" fillId="0" borderId="24" xfId="0" applyNumberFormat="1" applyFont="1" applyFill="1" applyBorder="1" applyAlignment="1">
      <alignment horizontal="center" wrapText="1"/>
    </xf>
    <xf numFmtId="41" fontId="4" fillId="32" borderId="32" xfId="0" applyNumberFormat="1" applyFont="1" applyFill="1" applyBorder="1" applyAlignment="1">
      <alignment horizontal="center"/>
    </xf>
    <xf numFmtId="41" fontId="4" fillId="32" borderId="21" xfId="0" applyNumberFormat="1" applyFont="1" applyFill="1" applyBorder="1" applyAlignment="1">
      <alignment horizontal="center"/>
    </xf>
    <xf numFmtId="41" fontId="4" fillId="32" borderId="33" xfId="0" applyNumberFormat="1" applyFont="1" applyFill="1" applyBorder="1" applyAlignment="1">
      <alignment horizontal="center"/>
    </xf>
    <xf numFmtId="41" fontId="4" fillId="31" borderId="32" xfId="0" applyNumberFormat="1" applyFont="1" applyFill="1" applyBorder="1" applyAlignment="1">
      <alignment horizontal="center"/>
    </xf>
    <xf numFmtId="41" fontId="4" fillId="31" borderId="21" xfId="0" applyNumberFormat="1" applyFont="1" applyFill="1" applyBorder="1" applyAlignment="1">
      <alignment horizontal="center"/>
    </xf>
    <xf numFmtId="41" fontId="4" fillId="31" borderId="33" xfId="0" applyNumberFormat="1" applyFont="1" applyFill="1" applyBorder="1" applyAlignment="1">
      <alignment horizontal="center"/>
    </xf>
    <xf numFmtId="41" fontId="4" fillId="31" borderId="31" xfId="0" applyNumberFormat="1" applyFont="1" applyFill="1" applyBorder="1" applyAlignment="1">
      <alignment horizontal="center"/>
    </xf>
    <xf numFmtId="41" fontId="4" fillId="31" borderId="16" xfId="0" applyNumberFormat="1" applyFont="1" applyFill="1" applyBorder="1" applyAlignment="1">
      <alignment horizontal="center"/>
    </xf>
    <xf numFmtId="41" fontId="4" fillId="31" borderId="13" xfId="0" applyNumberFormat="1" applyFont="1" applyFill="1" applyBorder="1" applyAlignment="1">
      <alignment horizontal="center"/>
    </xf>
    <xf numFmtId="41" fontId="4" fillId="31" borderId="18" xfId="0" applyNumberFormat="1" applyFont="1" applyFill="1" applyBorder="1" applyAlignment="1">
      <alignment horizontal="center"/>
    </xf>
    <xf numFmtId="41" fontId="4" fillId="31" borderId="12" xfId="0" applyNumberFormat="1" applyFont="1" applyFill="1" applyBorder="1" applyAlignment="1">
      <alignment horizontal="center"/>
    </xf>
    <xf numFmtId="41" fontId="4" fillId="31" borderId="23" xfId="0" applyNumberFormat="1" applyFont="1" applyFill="1" applyBorder="1" applyAlignment="1">
      <alignment horizontal="center"/>
    </xf>
    <xf numFmtId="41" fontId="4" fillId="32" borderId="18" xfId="0" applyNumberFormat="1" applyFont="1" applyFill="1" applyBorder="1" applyAlignment="1">
      <alignment horizontal="center"/>
    </xf>
    <xf numFmtId="41" fontId="4" fillId="32" borderId="12" xfId="0" applyNumberFormat="1" applyFont="1" applyFill="1" applyBorder="1" applyAlignment="1">
      <alignment horizontal="center"/>
    </xf>
    <xf numFmtId="41" fontId="4" fillId="32" borderId="23" xfId="0" applyNumberFormat="1" applyFont="1" applyFill="1" applyBorder="1" applyAlignment="1">
      <alignment horizontal="center"/>
    </xf>
    <xf numFmtId="41" fontId="4" fillId="33" borderId="32" xfId="0" applyNumberFormat="1" applyFont="1" applyFill="1" applyBorder="1" applyAlignment="1">
      <alignment horizontal="center"/>
    </xf>
    <xf numFmtId="41" fontId="4" fillId="33" borderId="21" xfId="0" applyNumberFormat="1" applyFont="1" applyFill="1" applyBorder="1" applyAlignment="1">
      <alignment horizontal="center"/>
    </xf>
    <xf numFmtId="41" fontId="4" fillId="33" borderId="33" xfId="0" applyNumberFormat="1" applyFont="1" applyFill="1" applyBorder="1" applyAlignment="1">
      <alignment horizontal="center"/>
    </xf>
    <xf numFmtId="41" fontId="4" fillId="33" borderId="18" xfId="0" applyNumberFormat="1" applyFont="1" applyFill="1" applyBorder="1" applyAlignment="1">
      <alignment horizontal="center"/>
    </xf>
    <xf numFmtId="41" fontId="4" fillId="33" borderId="12" xfId="0" applyNumberFormat="1" applyFont="1" applyFill="1" applyBorder="1" applyAlignment="1">
      <alignment horizontal="center"/>
    </xf>
    <xf numFmtId="41" fontId="4" fillId="33" borderId="23" xfId="0" applyNumberFormat="1" applyFont="1" applyFill="1" applyBorder="1" applyAlignment="1">
      <alignment horizontal="center"/>
    </xf>
    <xf numFmtId="41" fontId="4" fillId="75" borderId="32" xfId="0" applyNumberFormat="1" applyFont="1" applyFill="1" applyBorder="1" applyAlignment="1">
      <alignment horizontal="center"/>
    </xf>
    <xf numFmtId="41" fontId="4" fillId="75" borderId="21" xfId="0" applyNumberFormat="1" applyFont="1" applyFill="1" applyBorder="1" applyAlignment="1">
      <alignment horizontal="center"/>
    </xf>
    <xf numFmtId="41" fontId="4" fillId="75" borderId="33" xfId="0" applyNumberFormat="1" applyFont="1" applyFill="1" applyBorder="1" applyAlignment="1">
      <alignment horizontal="center"/>
    </xf>
    <xf numFmtId="41" fontId="4" fillId="75" borderId="18" xfId="0" applyNumberFormat="1" applyFont="1" applyFill="1" applyBorder="1" applyAlignment="1">
      <alignment horizontal="center"/>
    </xf>
    <xf numFmtId="41" fontId="4" fillId="75" borderId="12" xfId="0" applyNumberFormat="1" applyFont="1" applyFill="1" applyBorder="1" applyAlignment="1">
      <alignment horizontal="center"/>
    </xf>
    <xf numFmtId="41" fontId="4" fillId="75" borderId="23" xfId="0" applyNumberFormat="1" applyFont="1" applyFill="1" applyBorder="1" applyAlignment="1">
      <alignment horizontal="center"/>
    </xf>
    <xf numFmtId="41" fontId="4" fillId="35" borderId="32" xfId="0" applyNumberFormat="1" applyFont="1" applyFill="1" applyBorder="1" applyAlignment="1">
      <alignment horizontal="center"/>
    </xf>
    <xf numFmtId="41" fontId="4" fillId="35" borderId="21" xfId="0" applyNumberFormat="1" applyFont="1" applyFill="1" applyBorder="1" applyAlignment="1">
      <alignment horizontal="center"/>
    </xf>
    <xf numFmtId="41" fontId="4" fillId="35" borderId="33" xfId="0" applyNumberFormat="1" applyFont="1" applyFill="1" applyBorder="1" applyAlignment="1">
      <alignment horizontal="center"/>
    </xf>
    <xf numFmtId="41" fontId="4" fillId="35" borderId="18" xfId="0" applyNumberFormat="1" applyFont="1" applyFill="1" applyBorder="1" applyAlignment="1">
      <alignment horizontal="center"/>
    </xf>
    <xf numFmtId="41" fontId="4" fillId="35" borderId="12" xfId="0" applyNumberFormat="1" applyFont="1" applyFill="1" applyBorder="1" applyAlignment="1">
      <alignment horizontal="center"/>
    </xf>
    <xf numFmtId="41" fontId="4" fillId="35" borderId="23" xfId="0" applyNumberFormat="1" applyFont="1" applyFill="1" applyBorder="1" applyAlignment="1">
      <alignment horizontal="center"/>
    </xf>
    <xf numFmtId="41" fontId="4" fillId="87" borderId="32" xfId="0" applyNumberFormat="1" applyFont="1" applyFill="1" applyBorder="1" applyAlignment="1">
      <alignment horizontal="center"/>
    </xf>
    <xf numFmtId="41" fontId="4" fillId="87" borderId="21" xfId="0" applyNumberFormat="1" applyFont="1" applyFill="1" applyBorder="1" applyAlignment="1">
      <alignment horizontal="center"/>
    </xf>
    <xf numFmtId="41" fontId="4" fillId="87" borderId="33" xfId="0" applyNumberFormat="1" applyFont="1" applyFill="1" applyBorder="1" applyAlignment="1">
      <alignment horizontal="center"/>
    </xf>
    <xf numFmtId="41" fontId="4" fillId="87" borderId="18" xfId="0" applyNumberFormat="1" applyFont="1" applyFill="1" applyBorder="1" applyAlignment="1">
      <alignment horizontal="center"/>
    </xf>
    <xf numFmtId="41" fontId="4" fillId="87" borderId="12" xfId="0" applyNumberFormat="1" applyFont="1" applyFill="1" applyBorder="1" applyAlignment="1">
      <alignment horizontal="center"/>
    </xf>
    <xf numFmtId="41" fontId="4" fillId="87" borderId="23" xfId="0" applyNumberFormat="1" applyFont="1" applyFill="1" applyBorder="1" applyAlignment="1">
      <alignment horizontal="center"/>
    </xf>
    <xf numFmtId="41" fontId="4" fillId="37" borderId="32" xfId="0" applyNumberFormat="1" applyFont="1" applyFill="1" applyBorder="1" applyAlignment="1">
      <alignment horizontal="center"/>
    </xf>
    <xf numFmtId="41" fontId="4" fillId="37" borderId="21" xfId="0" applyNumberFormat="1" applyFont="1" applyFill="1" applyBorder="1" applyAlignment="1">
      <alignment horizontal="center"/>
    </xf>
    <xf numFmtId="41" fontId="4" fillId="37" borderId="33" xfId="0" applyNumberFormat="1" applyFont="1" applyFill="1" applyBorder="1" applyAlignment="1">
      <alignment horizontal="center"/>
    </xf>
    <xf numFmtId="41" fontId="4" fillId="37" borderId="18" xfId="0" applyNumberFormat="1" applyFont="1" applyFill="1" applyBorder="1" applyAlignment="1">
      <alignment horizontal="center"/>
    </xf>
    <xf numFmtId="41" fontId="4" fillId="37" borderId="12" xfId="0" applyNumberFormat="1" applyFont="1" applyFill="1" applyBorder="1" applyAlignment="1">
      <alignment horizontal="center"/>
    </xf>
    <xf numFmtId="41" fontId="4" fillId="37" borderId="23" xfId="0" applyNumberFormat="1" applyFont="1" applyFill="1" applyBorder="1" applyAlignment="1">
      <alignment horizontal="center"/>
    </xf>
    <xf numFmtId="10" fontId="20" fillId="0" borderId="39" xfId="0" applyNumberFormat="1" applyFont="1" applyFill="1" applyBorder="1" applyAlignment="1">
      <alignment horizontal="center"/>
    </xf>
    <xf numFmtId="10" fontId="20" fillId="0" borderId="0" xfId="0" applyNumberFormat="1" applyFont="1" applyFill="1" applyBorder="1" applyAlignment="1">
      <alignment horizontal="center"/>
    </xf>
    <xf numFmtId="0" fontId="4" fillId="0" borderId="6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21" fillId="33" borderId="21" xfId="0" applyFont="1" applyFill="1" applyBorder="1" applyAlignment="1">
      <alignment horizontal="center" wrapText="1"/>
    </xf>
    <xf numFmtId="0" fontId="21" fillId="42" borderId="21" xfId="0" applyFont="1" applyFill="1" applyBorder="1" applyAlignment="1">
      <alignment horizontal="center" wrapText="1"/>
    </xf>
    <xf numFmtId="0" fontId="21" fillId="41" borderId="21" xfId="0" applyFont="1" applyFill="1" applyBorder="1" applyAlignment="1">
      <alignment horizontal="center" wrapText="1"/>
    </xf>
    <xf numFmtId="0" fontId="20" fillId="0" borderId="65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65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 wrapText="1"/>
    </xf>
    <xf numFmtId="0" fontId="24" fillId="29" borderId="33" xfId="0" applyFont="1" applyFill="1" applyBorder="1" applyAlignment="1">
      <alignment horizontal="center" wrapText="1"/>
    </xf>
    <xf numFmtId="0" fontId="21" fillId="32" borderId="21" xfId="0" applyFont="1" applyFill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66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41" fontId="67" fillId="0" borderId="31" xfId="0" applyNumberFormat="1" applyFont="1" applyBorder="1" applyAlignment="1">
      <alignment horizontal="center" wrapText="1"/>
    </xf>
    <xf numFmtId="41" fontId="67" fillId="0" borderId="16" xfId="0" applyNumberFormat="1" applyFont="1" applyBorder="1" applyAlignment="1">
      <alignment horizontal="center" wrapText="1"/>
    </xf>
    <xf numFmtId="41" fontId="67" fillId="0" borderId="13" xfId="0" applyNumberFormat="1" applyFont="1" applyBorder="1" applyAlignment="1">
      <alignment horizontal="center" wrapText="1"/>
    </xf>
    <xf numFmtId="183" fontId="4" fillId="81" borderId="27" xfId="0" applyNumberFormat="1" applyFont="1" applyFill="1" applyBorder="1" applyAlignment="1">
      <alignment horizontal="center"/>
    </xf>
    <xf numFmtId="183" fontId="4" fillId="77" borderId="65" xfId="0" applyNumberFormat="1" applyFont="1" applyFill="1" applyBorder="1" applyAlignment="1">
      <alignment horizontal="center"/>
    </xf>
    <xf numFmtId="183" fontId="4" fillId="86" borderId="65" xfId="0" applyNumberFormat="1" applyFont="1" applyFill="1" applyBorder="1" applyAlignment="1">
      <alignment horizontal="center"/>
    </xf>
    <xf numFmtId="183" fontId="4" fillId="85" borderId="65" xfId="0" applyNumberFormat="1" applyFont="1" applyFill="1" applyBorder="1" applyAlignment="1">
      <alignment horizontal="center"/>
    </xf>
    <xf numFmtId="183" fontId="4" fillId="83" borderId="65" xfId="0" applyNumberFormat="1" applyFont="1" applyFill="1" applyBorder="1" applyAlignment="1">
      <alignment horizontal="center"/>
    </xf>
    <xf numFmtId="183" fontId="4" fillId="84" borderId="65" xfId="0" applyNumberFormat="1" applyFont="1" applyFill="1" applyBorder="1" applyAlignment="1">
      <alignment horizontal="center"/>
    </xf>
    <xf numFmtId="183" fontId="4" fillId="74" borderId="65" xfId="0" quotePrefix="1" applyNumberFormat="1" applyFont="1" applyFill="1" applyBorder="1" applyAlignment="1">
      <alignment horizontal="center"/>
    </xf>
    <xf numFmtId="183" fontId="4" fillId="78" borderId="65" xfId="0" applyNumberFormat="1" applyFont="1" applyFill="1" applyBorder="1" applyAlignment="1">
      <alignment horizontal="center"/>
    </xf>
    <xf numFmtId="183" fontId="4" fillId="80" borderId="65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4" fillId="0" borderId="0" xfId="259" applyFont="1" applyAlignment="1">
      <alignment horizontal="left"/>
    </xf>
    <xf numFmtId="0" fontId="87" fillId="0" borderId="0" xfId="259" applyFont="1" applyAlignment="1">
      <alignment horizontal="center" vertical="center" wrapText="1"/>
    </xf>
    <xf numFmtId="0" fontId="88" fillId="0" borderId="0" xfId="259" applyFont="1" applyAlignment="1">
      <alignment horizontal="left" vertical="center"/>
    </xf>
    <xf numFmtId="0" fontId="64" fillId="0" borderId="0" xfId="259" applyFont="1" applyAlignment="1">
      <alignment horizontal="left" wrapText="1"/>
    </xf>
    <xf numFmtId="0" fontId="87" fillId="0" borderId="0" xfId="259" applyFont="1" applyAlignment="1">
      <alignment horizontal="center" vertical="center"/>
    </xf>
    <xf numFmtId="0" fontId="30" fillId="0" borderId="0" xfId="214" applyFont="1" applyAlignment="1">
      <alignment horizontal="center" wrapText="1"/>
    </xf>
    <xf numFmtId="0" fontId="88" fillId="0" borderId="0" xfId="259" applyFont="1" applyAlignment="1">
      <alignment horizontal="left" vertical="center" wrapText="1"/>
    </xf>
    <xf numFmtId="17" fontId="4" fillId="33" borderId="65" xfId="0" applyNumberFormat="1" applyFont="1" applyFill="1" applyBorder="1" applyAlignment="1">
      <alignment horizontal="center"/>
    </xf>
    <xf numFmtId="17" fontId="4" fillId="33" borderId="20" xfId="0" applyNumberFormat="1" applyFont="1" applyFill="1" applyBorder="1" applyAlignment="1">
      <alignment horizontal="center"/>
    </xf>
    <xf numFmtId="17" fontId="4" fillId="33" borderId="27" xfId="0" applyNumberFormat="1" applyFont="1" applyFill="1" applyBorder="1" applyAlignment="1">
      <alignment horizontal="center"/>
    </xf>
    <xf numFmtId="17" fontId="4" fillId="0" borderId="32" xfId="0" applyNumberFormat="1" applyFont="1" applyBorder="1" applyAlignment="1">
      <alignment horizontal="center"/>
    </xf>
    <xf numFmtId="17" fontId="4" fillId="0" borderId="21" xfId="0" applyNumberFormat="1" applyFont="1" applyBorder="1" applyAlignment="1">
      <alignment horizontal="center"/>
    </xf>
    <xf numFmtId="17" fontId="4" fillId="0" borderId="20" xfId="0" applyNumberFormat="1" applyFont="1" applyBorder="1" applyAlignment="1">
      <alignment horizontal="center"/>
    </xf>
    <xf numFmtId="17" fontId="4" fillId="0" borderId="27" xfId="0" applyNumberFormat="1" applyFont="1" applyBorder="1" applyAlignment="1">
      <alignment horizontal="center"/>
    </xf>
    <xf numFmtId="17" fontId="4" fillId="0" borderId="65" xfId="0" applyNumberFormat="1" applyFont="1" applyBorder="1" applyAlignment="1">
      <alignment horizontal="center"/>
    </xf>
    <xf numFmtId="17" fontId="4" fillId="26" borderId="65" xfId="0" applyNumberFormat="1" applyFont="1" applyFill="1" applyBorder="1" applyAlignment="1">
      <alignment horizontal="center"/>
    </xf>
    <xf numFmtId="17" fontId="4" fillId="26" borderId="20" xfId="0" applyNumberFormat="1" applyFont="1" applyFill="1" applyBorder="1" applyAlignment="1">
      <alignment horizontal="center"/>
    </xf>
    <xf numFmtId="17" fontId="4" fillId="26" borderId="27" xfId="0" applyNumberFormat="1" applyFont="1" applyFill="1" applyBorder="1" applyAlignment="1">
      <alignment horizontal="center"/>
    </xf>
    <xf numFmtId="17" fontId="4" fillId="27" borderId="65" xfId="0" applyNumberFormat="1" applyFont="1" applyFill="1" applyBorder="1" applyAlignment="1">
      <alignment horizontal="center"/>
    </xf>
    <xf numFmtId="17" fontId="4" fillId="27" borderId="20" xfId="0" applyNumberFormat="1" applyFont="1" applyFill="1" applyBorder="1" applyAlignment="1">
      <alignment horizontal="center"/>
    </xf>
    <xf numFmtId="17" fontId="4" fillId="27" borderId="27" xfId="0" applyNumberFormat="1" applyFont="1" applyFill="1" applyBorder="1" applyAlignment="1">
      <alignment horizontal="center"/>
    </xf>
    <xf numFmtId="17" fontId="4" fillId="0" borderId="32" xfId="0" applyNumberFormat="1" applyFont="1" applyFill="1" applyBorder="1" applyAlignment="1">
      <alignment horizontal="center"/>
    </xf>
    <xf numFmtId="17" fontId="4" fillId="0" borderId="21" xfId="0" applyNumberFormat="1" applyFont="1" applyFill="1" applyBorder="1" applyAlignment="1">
      <alignment horizontal="center"/>
    </xf>
    <xf numFmtId="17" fontId="4" fillId="0" borderId="33" xfId="0" applyNumberFormat="1" applyFont="1" applyFill="1" applyBorder="1" applyAlignment="1">
      <alignment horizontal="center"/>
    </xf>
    <xf numFmtId="17" fontId="4" fillId="28" borderId="65" xfId="0" applyNumberFormat="1" applyFont="1" applyFill="1" applyBorder="1" applyAlignment="1">
      <alignment horizontal="center"/>
    </xf>
    <xf numFmtId="17" fontId="4" fillId="28" borderId="20" xfId="0" applyNumberFormat="1" applyFont="1" applyFill="1" applyBorder="1" applyAlignment="1">
      <alignment horizontal="center"/>
    </xf>
    <xf numFmtId="17" fontId="4" fillId="28" borderId="27" xfId="0" applyNumberFormat="1" applyFont="1" applyFill="1" applyBorder="1" applyAlignment="1">
      <alignment horizontal="center"/>
    </xf>
    <xf numFmtId="17" fontId="4" fillId="0" borderId="33" xfId="0" applyNumberFormat="1" applyFont="1" applyBorder="1" applyAlignment="1">
      <alignment horizontal="center"/>
    </xf>
    <xf numFmtId="17" fontId="4" fillId="29" borderId="65" xfId="0" applyNumberFormat="1" applyFont="1" applyFill="1" applyBorder="1" applyAlignment="1">
      <alignment horizontal="center"/>
    </xf>
    <xf numFmtId="17" fontId="4" fillId="29" borderId="20" xfId="0" applyNumberFormat="1" applyFont="1" applyFill="1" applyBorder="1" applyAlignment="1">
      <alignment horizontal="center"/>
    </xf>
    <xf numFmtId="17" fontId="4" fillId="29" borderId="27" xfId="0" applyNumberFormat="1" applyFont="1" applyFill="1" applyBorder="1" applyAlignment="1">
      <alignment horizontal="center"/>
    </xf>
    <xf numFmtId="17" fontId="4" fillId="30" borderId="65" xfId="0" applyNumberFormat="1" applyFont="1" applyFill="1" applyBorder="1" applyAlignment="1">
      <alignment horizontal="center"/>
    </xf>
    <xf numFmtId="17" fontId="4" fillId="30" borderId="20" xfId="0" applyNumberFormat="1" applyFont="1" applyFill="1" applyBorder="1" applyAlignment="1">
      <alignment horizontal="center"/>
    </xf>
    <xf numFmtId="17" fontId="4" fillId="30" borderId="27" xfId="0" applyNumberFormat="1" applyFont="1" applyFill="1" applyBorder="1" applyAlignment="1">
      <alignment horizontal="center"/>
    </xf>
    <xf numFmtId="17" fontId="4" fillId="31" borderId="65" xfId="0" applyNumberFormat="1" applyFont="1" applyFill="1" applyBorder="1" applyAlignment="1">
      <alignment horizontal="center"/>
    </xf>
    <xf numFmtId="17" fontId="4" fillId="31" borderId="20" xfId="0" applyNumberFormat="1" applyFont="1" applyFill="1" applyBorder="1" applyAlignment="1">
      <alignment horizontal="center"/>
    </xf>
    <xf numFmtId="17" fontId="4" fillId="31" borderId="27" xfId="0" applyNumberFormat="1" applyFont="1" applyFill="1" applyBorder="1" applyAlignment="1">
      <alignment horizontal="center"/>
    </xf>
    <xf numFmtId="17" fontId="4" fillId="32" borderId="65" xfId="0" applyNumberFormat="1" applyFont="1" applyFill="1" applyBorder="1" applyAlignment="1">
      <alignment horizontal="center"/>
    </xf>
    <xf numFmtId="17" fontId="4" fillId="32" borderId="20" xfId="0" applyNumberFormat="1" applyFont="1" applyFill="1" applyBorder="1" applyAlignment="1">
      <alignment horizontal="center"/>
    </xf>
    <xf numFmtId="17" fontId="4" fillId="32" borderId="27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17" fontId="4" fillId="37" borderId="65" xfId="0" applyNumberFormat="1" applyFont="1" applyFill="1" applyBorder="1" applyAlignment="1">
      <alignment horizontal="center"/>
    </xf>
    <xf numFmtId="17" fontId="4" fillId="37" borderId="20" xfId="0" applyNumberFormat="1" applyFont="1" applyFill="1" applyBorder="1" applyAlignment="1">
      <alignment horizontal="center"/>
    </xf>
    <xf numFmtId="17" fontId="4" fillId="37" borderId="27" xfId="0" applyNumberFormat="1" applyFont="1" applyFill="1" applyBorder="1" applyAlignment="1">
      <alignment horizontal="center"/>
    </xf>
    <xf numFmtId="17" fontId="4" fillId="34" borderId="65" xfId="0" applyNumberFormat="1" applyFont="1" applyFill="1" applyBorder="1" applyAlignment="1">
      <alignment horizontal="center"/>
    </xf>
    <xf numFmtId="17" fontId="4" fillId="34" borderId="20" xfId="0" applyNumberFormat="1" applyFont="1" applyFill="1" applyBorder="1" applyAlignment="1">
      <alignment horizontal="center"/>
    </xf>
    <xf numFmtId="17" fontId="4" fillId="34" borderId="27" xfId="0" applyNumberFormat="1" applyFont="1" applyFill="1" applyBorder="1" applyAlignment="1">
      <alignment horizontal="center"/>
    </xf>
    <xf numFmtId="17" fontId="4" fillId="35" borderId="65" xfId="0" applyNumberFormat="1" applyFont="1" applyFill="1" applyBorder="1" applyAlignment="1">
      <alignment horizontal="center"/>
    </xf>
    <xf numFmtId="17" fontId="4" fillId="35" borderId="20" xfId="0" applyNumberFormat="1" applyFont="1" applyFill="1" applyBorder="1" applyAlignment="1">
      <alignment horizontal="center"/>
    </xf>
    <xf numFmtId="17" fontId="4" fillId="35" borderId="27" xfId="0" applyNumberFormat="1" applyFont="1" applyFill="1" applyBorder="1" applyAlignment="1">
      <alignment horizontal="center"/>
    </xf>
    <xf numFmtId="17" fontId="4" fillId="36" borderId="65" xfId="0" applyNumberFormat="1" applyFont="1" applyFill="1" applyBorder="1" applyAlignment="1">
      <alignment horizontal="center"/>
    </xf>
    <xf numFmtId="17" fontId="4" fillId="36" borderId="20" xfId="0" applyNumberFormat="1" applyFont="1" applyFill="1" applyBorder="1" applyAlignment="1">
      <alignment horizontal="center"/>
    </xf>
    <xf numFmtId="17" fontId="4" fillId="36" borderId="27" xfId="0" applyNumberFormat="1" applyFont="1" applyFill="1" applyBorder="1" applyAlignment="1">
      <alignment horizontal="center"/>
    </xf>
    <xf numFmtId="41" fontId="3" fillId="0" borderId="24" xfId="0" applyNumberFormat="1" applyFont="1" applyFill="1" applyBorder="1" applyAlignment="1">
      <alignment horizontal="center" wrapText="1"/>
    </xf>
    <xf numFmtId="41" fontId="3" fillId="0" borderId="0" xfId="0" applyNumberFormat="1" applyFont="1" applyFill="1" applyBorder="1" applyAlignment="1">
      <alignment horizontal="center" wrapText="1"/>
    </xf>
    <xf numFmtId="41" fontId="3" fillId="0" borderId="17" xfId="0" applyNumberFormat="1" applyFont="1" applyFill="1" applyBorder="1" applyAlignment="1">
      <alignment horizontal="center" wrapText="1"/>
    </xf>
    <xf numFmtId="41" fontId="3" fillId="0" borderId="17" xfId="0" applyNumberFormat="1" applyFont="1" applyFill="1" applyBorder="1"/>
    <xf numFmtId="41" fontId="3" fillId="29" borderId="13" xfId="0" applyNumberFormat="1" applyFont="1" applyFill="1" applyBorder="1"/>
    <xf numFmtId="41" fontId="3" fillId="0" borderId="0" xfId="0" applyNumberFormat="1" applyFont="1" applyFill="1" applyBorder="1"/>
    <xf numFmtId="41" fontId="3" fillId="0" borderId="17" xfId="0" applyNumberFormat="1" applyFont="1" applyFill="1" applyBorder="1" applyAlignment="1">
      <alignment wrapText="1"/>
    </xf>
    <xf numFmtId="41" fontId="3" fillId="36" borderId="13" xfId="0" applyNumberFormat="1" applyFont="1" applyFill="1" applyBorder="1"/>
    <xf numFmtId="41" fontId="3" fillId="37" borderId="13" xfId="0" applyNumberFormat="1" applyFont="1" applyFill="1" applyBorder="1"/>
    <xf numFmtId="41" fontId="3" fillId="0" borderId="0" xfId="0" applyNumberFormat="1" applyFont="1"/>
    <xf numFmtId="41" fontId="3" fillId="0" borderId="24" xfId="0" applyNumberFormat="1" applyFont="1" applyBorder="1"/>
    <xf numFmtId="41" fontId="3" fillId="26" borderId="16" xfId="0" applyNumberFormat="1" applyFont="1" applyFill="1" applyBorder="1"/>
    <xf numFmtId="10" fontId="3" fillId="0" borderId="0" xfId="121" applyNumberFormat="1" applyFont="1" applyFill="1" applyBorder="1" applyAlignment="1">
      <alignment horizontal="center"/>
    </xf>
    <xf numFmtId="41" fontId="3" fillId="0" borderId="24" xfId="0" applyNumberFormat="1" applyFont="1" applyFill="1" applyBorder="1"/>
    <xf numFmtId="41" fontId="3" fillId="0" borderId="17" xfId="0" applyNumberFormat="1" applyFont="1" applyBorder="1"/>
    <xf numFmtId="41" fontId="3" fillId="27" borderId="31" xfId="0" applyNumberFormat="1" applyFont="1" applyFill="1" applyBorder="1"/>
    <xf numFmtId="41" fontId="3" fillId="28" borderId="16" xfId="0" applyNumberFormat="1" applyFont="1" applyFill="1" applyBorder="1"/>
    <xf numFmtId="41" fontId="3" fillId="29" borderId="16" xfId="0" applyNumberFormat="1" applyFont="1" applyFill="1" applyBorder="1"/>
    <xf numFmtId="41" fontId="3" fillId="0" borderId="0" xfId="0" applyNumberFormat="1" applyFont="1" applyBorder="1"/>
    <xf numFmtId="41" fontId="3" fillId="74" borderId="16" xfId="0" applyNumberFormat="1" applyFont="1" applyFill="1" applyBorder="1"/>
    <xf numFmtId="41" fontId="3" fillId="31" borderId="16" xfId="0" applyNumberFormat="1" applyFont="1" applyFill="1" applyBorder="1"/>
    <xf numFmtId="41" fontId="3" fillId="32" borderId="31" xfId="0" applyNumberFormat="1" applyFont="1" applyFill="1" applyBorder="1"/>
    <xf numFmtId="41" fontId="3" fillId="33" borderId="16" xfId="0" applyNumberFormat="1" applyFont="1" applyFill="1" applyBorder="1"/>
    <xf numFmtId="41" fontId="3" fillId="75" borderId="16" xfId="0" applyNumberFormat="1" applyFont="1" applyFill="1" applyBorder="1"/>
    <xf numFmtId="41" fontId="3" fillId="35" borderId="16" xfId="0" applyNumberFormat="1" applyFont="1" applyFill="1" applyBorder="1"/>
    <xf numFmtId="41" fontId="3" fillId="37" borderId="16" xfId="0" applyNumberFormat="1" applyFont="1" applyFill="1" applyBorder="1"/>
    <xf numFmtId="41" fontId="3" fillId="27" borderId="16" xfId="0" applyNumberFormat="1" applyFont="1" applyFill="1" applyBorder="1"/>
    <xf numFmtId="41" fontId="3" fillId="32" borderId="16" xfId="0" applyNumberFormat="1" applyFont="1" applyFill="1" applyBorder="1"/>
    <xf numFmtId="41" fontId="3" fillId="0" borderId="12" xfId="0" applyNumberFormat="1" applyFont="1" applyBorder="1" applyAlignment="1">
      <alignment horizontal="left" indent="1"/>
    </xf>
    <xf numFmtId="41" fontId="3" fillId="0" borderId="13" xfId="0" applyNumberFormat="1" applyFont="1" applyFill="1" applyBorder="1"/>
    <xf numFmtId="41" fontId="3" fillId="26" borderId="13" xfId="0" applyNumberFormat="1" applyFont="1" applyFill="1" applyBorder="1"/>
    <xf numFmtId="41" fontId="3" fillId="27" borderId="13" xfId="0" applyNumberFormat="1" applyFont="1" applyFill="1" applyBorder="1"/>
    <xf numFmtId="41" fontId="3" fillId="28" borderId="13" xfId="0" applyNumberFormat="1" applyFont="1" applyFill="1" applyBorder="1"/>
    <xf numFmtId="41" fontId="3" fillId="74" borderId="13" xfId="0" applyNumberFormat="1" applyFont="1" applyFill="1" applyBorder="1"/>
    <xf numFmtId="41" fontId="3" fillId="31" borderId="13" xfId="0" applyNumberFormat="1" applyFont="1" applyFill="1" applyBorder="1"/>
    <xf numFmtId="41" fontId="3" fillId="32" borderId="13" xfId="0" applyNumberFormat="1" applyFont="1" applyFill="1" applyBorder="1"/>
    <xf numFmtId="41" fontId="3" fillId="33" borderId="13" xfId="0" applyNumberFormat="1" applyFont="1" applyFill="1" applyBorder="1"/>
    <xf numFmtId="41" fontId="3" fillId="75" borderId="13" xfId="0" applyNumberFormat="1" applyFont="1" applyFill="1" applyBorder="1"/>
    <xf numFmtId="41" fontId="3" fillId="35" borderId="13" xfId="0" applyNumberFormat="1" applyFont="1" applyFill="1" applyBorder="1"/>
    <xf numFmtId="41" fontId="3" fillId="0" borderId="20" xfId="0" quotePrefix="1" applyNumberFormat="1" applyFont="1" applyFill="1" applyBorder="1"/>
    <xf numFmtId="41" fontId="3" fillId="0" borderId="0" xfId="0" applyNumberFormat="1" applyFont="1" applyFill="1"/>
    <xf numFmtId="41" fontId="3" fillId="26" borderId="31" xfId="0" applyNumberFormat="1" applyFont="1" applyFill="1" applyBorder="1"/>
    <xf numFmtId="41" fontId="3" fillId="0" borderId="31" xfId="0" applyNumberFormat="1" applyFont="1" applyFill="1" applyBorder="1"/>
    <xf numFmtId="3" fontId="3" fillId="0" borderId="31" xfId="0" applyNumberFormat="1" applyFont="1" applyBorder="1"/>
    <xf numFmtId="10" fontId="3" fillId="0" borderId="21" xfId="0" applyNumberFormat="1" applyFont="1" applyBorder="1" applyAlignment="1">
      <alignment horizontal="center"/>
    </xf>
    <xf numFmtId="41" fontId="3" fillId="0" borderId="32" xfId="0" applyNumberFormat="1" applyFont="1" applyBorder="1"/>
    <xf numFmtId="41" fontId="3" fillId="0" borderId="21" xfId="0" applyNumberFormat="1" applyFont="1" applyBorder="1"/>
    <xf numFmtId="41" fontId="3" fillId="0" borderId="33" xfId="0" applyNumberFormat="1" applyFont="1" applyBorder="1"/>
    <xf numFmtId="41" fontId="3" fillId="28" borderId="31" xfId="0" applyNumberFormat="1" applyFont="1" applyFill="1" applyBorder="1"/>
    <xf numFmtId="41" fontId="3" fillId="74" borderId="31" xfId="0" applyNumberFormat="1" applyFont="1" applyFill="1" applyBorder="1"/>
    <xf numFmtId="41" fontId="3" fillId="31" borderId="31" xfId="0" applyNumberFormat="1" applyFont="1" applyFill="1" applyBorder="1"/>
    <xf numFmtId="10" fontId="3" fillId="0" borderId="0" xfId="12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1" fontId="3" fillId="26" borderId="32" xfId="0" applyNumberFormat="1" applyFont="1" applyFill="1" applyBorder="1"/>
    <xf numFmtId="41" fontId="3" fillId="0" borderId="21" xfId="0" applyNumberFormat="1" applyFont="1" applyFill="1" applyBorder="1"/>
    <xf numFmtId="182" fontId="3" fillId="0" borderId="32" xfId="0" applyNumberFormat="1" applyFont="1" applyBorder="1"/>
    <xf numFmtId="182" fontId="3" fillId="0" borderId="21" xfId="0" applyNumberFormat="1" applyFont="1" applyBorder="1"/>
    <xf numFmtId="182" fontId="3" fillId="0" borderId="33" xfId="0" applyNumberFormat="1" applyFont="1" applyBorder="1"/>
    <xf numFmtId="41" fontId="3" fillId="37" borderId="31" xfId="0" applyNumberFormat="1" applyFont="1" applyFill="1" applyBorder="1"/>
    <xf numFmtId="41" fontId="3" fillId="26" borderId="17" xfId="0" applyNumberFormat="1" applyFont="1" applyFill="1" applyBorder="1"/>
    <xf numFmtId="3" fontId="3" fillId="0" borderId="16" xfId="0" applyNumberFormat="1" applyFont="1" applyBorder="1"/>
    <xf numFmtId="10" fontId="3" fillId="0" borderId="0" xfId="0" applyNumberFormat="1" applyFont="1" applyBorder="1" applyAlignment="1">
      <alignment horizontal="center"/>
    </xf>
    <xf numFmtId="182" fontId="3" fillId="0" borderId="17" xfId="0" applyNumberFormat="1" applyFont="1" applyBorder="1"/>
    <xf numFmtId="182" fontId="3" fillId="0" borderId="0" xfId="0" applyNumberFormat="1" applyFont="1" applyBorder="1"/>
    <xf numFmtId="182" fontId="3" fillId="0" borderId="24" xfId="0" applyNumberFormat="1" applyFont="1" applyBorder="1"/>
    <xf numFmtId="3" fontId="3" fillId="0" borderId="16" xfId="0" applyNumberFormat="1" applyFont="1" applyFill="1" applyBorder="1" applyAlignment="1">
      <alignment horizontal="right"/>
    </xf>
    <xf numFmtId="41" fontId="3" fillId="0" borderId="60" xfId="0" applyNumberFormat="1" applyFont="1" applyFill="1" applyBorder="1"/>
    <xf numFmtId="10" fontId="3" fillId="0" borderId="62" xfId="0" applyNumberFormat="1" applyFont="1" applyBorder="1" applyAlignment="1">
      <alignment horizontal="center"/>
    </xf>
    <xf numFmtId="41" fontId="3" fillId="26" borderId="18" xfId="0" applyNumberFormat="1" applyFont="1" applyFill="1" applyBorder="1"/>
    <xf numFmtId="3" fontId="3" fillId="0" borderId="0" xfId="0" applyNumberFormat="1" applyFont="1" applyBorder="1"/>
    <xf numFmtId="10" fontId="3" fillId="0" borderId="0" xfId="0" applyNumberFormat="1" applyFont="1" applyFill="1" applyBorder="1"/>
    <xf numFmtId="41" fontId="3" fillId="0" borderId="0" xfId="0" quotePrefix="1" applyNumberFormat="1" applyFont="1" applyFill="1" applyBorder="1"/>
    <xf numFmtId="10" fontId="3" fillId="0" borderId="0" xfId="0" applyNumberFormat="1" applyFont="1" applyBorder="1"/>
    <xf numFmtId="41" fontId="3" fillId="0" borderId="0" xfId="0" applyNumberFormat="1" applyFont="1" applyAlignment="1">
      <alignment horizontal="center" wrapText="1"/>
    </xf>
    <xf numFmtId="41" fontId="3" fillId="0" borderId="16" xfId="0" applyNumberFormat="1" applyFont="1" applyFill="1" applyBorder="1" applyAlignment="1">
      <alignment horizontal="center" wrapText="1"/>
    </xf>
    <xf numFmtId="41" fontId="3" fillId="27" borderId="16" xfId="0" applyNumberFormat="1" applyFont="1" applyFill="1" applyBorder="1" applyAlignment="1">
      <alignment horizontal="center" wrapText="1"/>
    </xf>
    <xf numFmtId="41" fontId="3" fillId="28" borderId="16" xfId="0" applyNumberFormat="1" applyFont="1" applyFill="1" applyBorder="1" applyAlignment="1">
      <alignment horizontal="center" wrapText="1"/>
    </xf>
    <xf numFmtId="41" fontId="3" fillId="74" borderId="16" xfId="0" applyNumberFormat="1" applyFont="1" applyFill="1" applyBorder="1" applyAlignment="1">
      <alignment horizontal="center" wrapText="1"/>
    </xf>
    <xf numFmtId="41" fontId="3" fillId="31" borderId="16" xfId="0" applyNumberFormat="1" applyFont="1" applyFill="1" applyBorder="1" applyAlignment="1">
      <alignment horizontal="center" wrapText="1"/>
    </xf>
    <xf numFmtId="41" fontId="3" fillId="32" borderId="16" xfId="0" applyNumberFormat="1" applyFont="1" applyFill="1" applyBorder="1" applyAlignment="1">
      <alignment horizontal="center" wrapText="1"/>
    </xf>
    <xf numFmtId="41" fontId="3" fillId="33" borderId="16" xfId="0" applyNumberFormat="1" applyFont="1" applyFill="1" applyBorder="1" applyAlignment="1">
      <alignment horizontal="center" wrapText="1"/>
    </xf>
    <xf numFmtId="41" fontId="3" fillId="75" borderId="16" xfId="0" applyNumberFormat="1" applyFont="1" applyFill="1" applyBorder="1" applyAlignment="1">
      <alignment horizontal="center" wrapText="1"/>
    </xf>
    <xf numFmtId="41" fontId="3" fillId="35" borderId="16" xfId="0" applyNumberFormat="1" applyFont="1" applyFill="1" applyBorder="1" applyAlignment="1">
      <alignment horizontal="center" wrapText="1"/>
    </xf>
    <xf numFmtId="41" fontId="3" fillId="36" borderId="48" xfId="0" applyNumberFormat="1" applyFont="1" applyFill="1" applyBorder="1" applyAlignment="1">
      <alignment horizontal="center" wrapText="1"/>
    </xf>
    <xf numFmtId="41" fontId="3" fillId="37" borderId="16" xfId="0" applyNumberFormat="1" applyFont="1" applyFill="1" applyBorder="1" applyAlignment="1">
      <alignment horizontal="center" wrapText="1"/>
    </xf>
    <xf numFmtId="41" fontId="3" fillId="0" borderId="16" xfId="0" applyNumberFormat="1" applyFont="1" applyFill="1" applyBorder="1" applyAlignment="1">
      <alignment horizontal="center"/>
    </xf>
    <xf numFmtId="41" fontId="3" fillId="0" borderId="16" xfId="0" applyNumberFormat="1" applyFont="1" applyBorder="1"/>
    <xf numFmtId="10" fontId="3" fillId="0" borderId="0" xfId="0" applyNumberFormat="1" applyFont="1" applyAlignment="1">
      <alignment horizontal="center"/>
    </xf>
    <xf numFmtId="3" fontId="3" fillId="0" borderId="31" xfId="0" applyNumberFormat="1" applyFont="1" applyFill="1" applyBorder="1"/>
    <xf numFmtId="10" fontId="3" fillId="0" borderId="21" xfId="0" applyNumberFormat="1" applyFont="1" applyFill="1" applyBorder="1" applyAlignment="1">
      <alignment horizontal="center"/>
    </xf>
    <xf numFmtId="41" fontId="3" fillId="0" borderId="32" xfId="0" applyNumberFormat="1" applyFont="1" applyFill="1" applyBorder="1"/>
    <xf numFmtId="41" fontId="3" fillId="0" borderId="33" xfId="0" applyNumberFormat="1" applyFont="1" applyFill="1" applyBorder="1"/>
    <xf numFmtId="41" fontId="3" fillId="0" borderId="31" xfId="0" applyNumberFormat="1" applyFont="1" applyBorder="1"/>
    <xf numFmtId="41" fontId="3" fillId="0" borderId="62" xfId="0" applyNumberFormat="1" applyFont="1" applyBorder="1"/>
    <xf numFmtId="41" fontId="3" fillId="0" borderId="61" xfId="0" applyNumberFormat="1" applyFont="1" applyBorder="1"/>
    <xf numFmtId="41" fontId="3" fillId="0" borderId="63" xfId="0" applyNumberFormat="1" applyFont="1" applyBorder="1"/>
    <xf numFmtId="41" fontId="3" fillId="0" borderId="20" xfId="0" applyNumberFormat="1" applyFont="1" applyBorder="1"/>
    <xf numFmtId="182" fontId="3" fillId="0" borderId="32" xfId="0" applyNumberFormat="1" applyFont="1" applyFill="1" applyBorder="1"/>
    <xf numFmtId="182" fontId="3" fillId="0" borderId="21" xfId="0" applyNumberFormat="1" applyFont="1" applyFill="1" applyBorder="1"/>
    <xf numFmtId="182" fontId="3" fillId="0" borderId="33" xfId="0" applyNumberFormat="1" applyFont="1" applyFill="1" applyBorder="1"/>
    <xf numFmtId="10" fontId="3" fillId="0" borderId="62" xfId="0" applyNumberFormat="1" applyFont="1" applyFill="1" applyBorder="1" applyAlignment="1">
      <alignment horizontal="center"/>
    </xf>
    <xf numFmtId="38" fontId="3" fillId="0" borderId="63" xfId="0" applyNumberFormat="1" applyFont="1" applyFill="1" applyBorder="1"/>
    <xf numFmtId="41" fontId="3" fillId="0" borderId="60" xfId="0" applyNumberFormat="1" applyFont="1" applyBorder="1"/>
    <xf numFmtId="41" fontId="3" fillId="0" borderId="62" xfId="0" applyNumberFormat="1" applyFont="1" applyFill="1" applyBorder="1"/>
    <xf numFmtId="38" fontId="3" fillId="0" borderId="63" xfId="0" applyNumberFormat="1" applyFont="1" applyBorder="1"/>
    <xf numFmtId="41" fontId="3" fillId="0" borderId="18" xfId="0" applyNumberFormat="1" applyFont="1" applyFill="1" applyBorder="1"/>
    <xf numFmtId="3" fontId="3" fillId="0" borderId="0" xfId="0" applyNumberFormat="1" applyFont="1" applyFill="1"/>
    <xf numFmtId="10" fontId="3" fillId="0" borderId="0" xfId="0" applyNumberFormat="1" applyFont="1" applyFill="1"/>
    <xf numFmtId="10" fontId="3" fillId="0" borderId="0" xfId="0" applyNumberFormat="1" applyFont="1"/>
    <xf numFmtId="0" fontId="3" fillId="0" borderId="0" xfId="0" applyFont="1" applyBorder="1"/>
    <xf numFmtId="0" fontId="3" fillId="26" borderId="28" xfId="0" applyFont="1" applyFill="1" applyBorder="1" applyAlignment="1">
      <alignment horizontal="center" wrapText="1"/>
    </xf>
    <xf numFmtId="0" fontId="3" fillId="26" borderId="20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24" borderId="20" xfId="0" applyFont="1" applyFill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27" borderId="2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0" fontId="3" fillId="28" borderId="3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29" borderId="28" xfId="0" applyFont="1" applyFill="1" applyBorder="1"/>
    <xf numFmtId="0" fontId="3" fillId="0" borderId="20" xfId="0" applyFont="1" applyBorder="1"/>
    <xf numFmtId="0" fontId="3" fillId="0" borderId="20" xfId="0" applyFont="1" applyFill="1" applyBorder="1"/>
    <xf numFmtId="0" fontId="3" fillId="30" borderId="28" xfId="0" applyFont="1" applyFill="1" applyBorder="1"/>
    <xf numFmtId="0" fontId="3" fillId="30" borderId="20" xfId="0" applyFont="1" applyFill="1" applyBorder="1"/>
    <xf numFmtId="0" fontId="3" fillId="31" borderId="28" xfId="0" applyFont="1" applyFill="1" applyBorder="1"/>
    <xf numFmtId="0" fontId="3" fillId="31" borderId="27" xfId="0" applyFont="1" applyFill="1" applyBorder="1"/>
    <xf numFmtId="0" fontId="3" fillId="32" borderId="28" xfId="0" applyFont="1" applyFill="1" applyBorder="1"/>
    <xf numFmtId="0" fontId="3" fillId="32" borderId="27" xfId="0" applyFont="1" applyFill="1" applyBorder="1"/>
    <xf numFmtId="0" fontId="3" fillId="33" borderId="31" xfId="0" applyFont="1" applyFill="1" applyBorder="1"/>
    <xf numFmtId="0" fontId="3" fillId="34" borderId="28" xfId="0" applyFont="1" applyFill="1" applyBorder="1"/>
    <xf numFmtId="0" fontId="3" fillId="34" borderId="20" xfId="0" applyFont="1" applyFill="1" applyBorder="1"/>
    <xf numFmtId="0" fontId="3" fillId="35" borderId="28" xfId="0" applyFont="1" applyFill="1" applyBorder="1"/>
    <xf numFmtId="0" fontId="3" fillId="36" borderId="28" xfId="0" applyFont="1" applyFill="1" applyBorder="1"/>
    <xf numFmtId="0" fontId="3" fillId="36" borderId="27" xfId="0" applyFont="1" applyFill="1" applyBorder="1"/>
    <xf numFmtId="0" fontId="3" fillId="37" borderId="28" xfId="0" applyFont="1" applyFill="1" applyBorder="1"/>
    <xf numFmtId="0" fontId="3" fillId="26" borderId="16" xfId="0" applyFont="1" applyFill="1" applyBorder="1"/>
    <xf numFmtId="0" fontId="3" fillId="26" borderId="0" xfId="0" applyFont="1" applyFill="1" applyBorder="1"/>
    <xf numFmtId="174" fontId="3" fillId="24" borderId="0" xfId="0" applyNumberFormat="1" applyFont="1" applyFill="1" applyBorder="1" applyAlignment="1">
      <alignment horizontal="center"/>
    </xf>
    <xf numFmtId="0" fontId="3" fillId="27" borderId="16" xfId="0" applyFont="1" applyFill="1" applyBorder="1"/>
    <xf numFmtId="0" fontId="3" fillId="0" borderId="17" xfId="0" applyFont="1" applyFill="1" applyBorder="1"/>
    <xf numFmtId="0" fontId="3" fillId="28" borderId="16" xfId="0" applyFont="1" applyFill="1" applyBorder="1"/>
    <xf numFmtId="0" fontId="3" fillId="0" borderId="0" xfId="0" applyFont="1" applyFill="1" applyBorder="1"/>
    <xf numFmtId="0" fontId="3" fillId="29" borderId="16" xfId="0" applyFont="1" applyFill="1" applyBorder="1"/>
    <xf numFmtId="0" fontId="3" fillId="30" borderId="16" xfId="0" applyFont="1" applyFill="1" applyBorder="1"/>
    <xf numFmtId="0" fontId="3" fillId="31" borderId="16" xfId="0" applyFont="1" applyFill="1" applyBorder="1"/>
    <xf numFmtId="0" fontId="3" fillId="31" borderId="24" xfId="0" applyFont="1" applyFill="1" applyBorder="1"/>
    <xf numFmtId="165" fontId="3" fillId="0" borderId="16" xfId="0" applyNumberFormat="1" applyFont="1" applyBorder="1"/>
    <xf numFmtId="165" fontId="3" fillId="0" borderId="11" xfId="0" applyNumberFormat="1" applyFont="1" applyBorder="1"/>
    <xf numFmtId="0" fontId="3" fillId="32" borderId="16" xfId="0" applyFont="1" applyFill="1" applyBorder="1"/>
    <xf numFmtId="0" fontId="3" fillId="33" borderId="16" xfId="0" applyFont="1" applyFill="1" applyBorder="1"/>
    <xf numFmtId="0" fontId="3" fillId="34" borderId="16" xfId="0" applyFont="1" applyFill="1" applyBorder="1"/>
    <xf numFmtId="0" fontId="3" fillId="34" borderId="0" xfId="0" applyFont="1" applyFill="1" applyBorder="1"/>
    <xf numFmtId="0" fontId="3" fillId="35" borderId="31" xfId="0" applyFont="1" applyFill="1" applyBorder="1"/>
    <xf numFmtId="0" fontId="3" fillId="35" borderId="24" xfId="0" applyFont="1" applyFill="1" applyBorder="1"/>
    <xf numFmtId="0" fontId="3" fillId="36" borderId="16" xfId="0" applyFont="1" applyFill="1" applyBorder="1"/>
    <xf numFmtId="0" fontId="3" fillId="36" borderId="24" xfId="0" applyFont="1" applyFill="1" applyBorder="1"/>
    <xf numFmtId="0" fontId="3" fillId="37" borderId="16" xfId="0" applyFont="1" applyFill="1" applyBorder="1"/>
    <xf numFmtId="171" fontId="3" fillId="0" borderId="0" xfId="0" applyNumberFormat="1" applyFont="1" applyBorder="1"/>
    <xf numFmtId="0" fontId="3" fillId="24" borderId="0" xfId="0" applyFont="1" applyFill="1" applyBorder="1"/>
    <xf numFmtId="10" fontId="3" fillId="0" borderId="0" xfId="121" applyNumberFormat="1" applyFont="1" applyBorder="1"/>
    <xf numFmtId="165" fontId="3" fillId="0" borderId="10" xfId="0" applyNumberFormat="1" applyFont="1" applyBorder="1"/>
    <xf numFmtId="0" fontId="3" fillId="0" borderId="17" xfId="0" applyFont="1" applyBorder="1"/>
    <xf numFmtId="167" fontId="3" fillId="0" borderId="0" xfId="0" applyNumberFormat="1" applyFont="1" applyBorder="1"/>
    <xf numFmtId="41" fontId="3" fillId="24" borderId="0" xfId="0" applyNumberFormat="1" applyFont="1" applyFill="1" applyBorder="1"/>
    <xf numFmtId="165" fontId="3" fillId="0" borderId="17" xfId="0" applyNumberFormat="1" applyFont="1" applyBorder="1"/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17" xfId="0" applyNumberFormat="1" applyFont="1" applyBorder="1"/>
    <xf numFmtId="164" fontId="3" fillId="0" borderId="11" xfId="0" applyNumberFormat="1" applyFont="1" applyBorder="1"/>
    <xf numFmtId="1" fontId="3" fillId="0" borderId="0" xfId="0" applyNumberFormat="1" applyFont="1" applyBorder="1"/>
    <xf numFmtId="0" fontId="3" fillId="35" borderId="16" xfId="0" applyFont="1" applyFill="1" applyBorder="1"/>
    <xf numFmtId="171" fontId="3" fillId="0" borderId="0" xfId="0" applyNumberFormat="1" applyFont="1" applyBorder="1" applyAlignment="1">
      <alignment horizontal="center"/>
    </xf>
    <xf numFmtId="171" fontId="3" fillId="25" borderId="0" xfId="0" applyNumberFormat="1" applyFont="1" applyFill="1" applyBorder="1"/>
    <xf numFmtId="167" fontId="3" fillId="0" borderId="0" xfId="0" applyNumberFormat="1" applyFont="1" applyFill="1" applyBorder="1"/>
    <xf numFmtId="171" fontId="3" fillId="0" borderId="0" xfId="0" applyNumberFormat="1" applyFont="1" applyFill="1" applyBorder="1"/>
    <xf numFmtId="0" fontId="3" fillId="25" borderId="0" xfId="0" applyFont="1" applyFill="1" applyBorder="1"/>
    <xf numFmtId="171" fontId="3" fillId="25" borderId="0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26" borderId="13" xfId="0" applyFont="1" applyFill="1" applyBorder="1"/>
    <xf numFmtId="0" fontId="3" fillId="26" borderId="12" xfId="0" applyFont="1" applyFill="1" applyBorder="1"/>
    <xf numFmtId="171" fontId="3" fillId="24" borderId="12" xfId="0" applyNumberFormat="1" applyFont="1" applyFill="1" applyBorder="1"/>
    <xf numFmtId="0" fontId="3" fillId="27" borderId="13" xfId="0" applyFont="1" applyFill="1" applyBorder="1"/>
    <xf numFmtId="0" fontId="3" fillId="0" borderId="18" xfId="0" applyFont="1" applyBorder="1"/>
    <xf numFmtId="174" fontId="3" fillId="24" borderId="12" xfId="0" applyNumberFormat="1" applyFont="1" applyFill="1" applyBorder="1"/>
    <xf numFmtId="0" fontId="3" fillId="28" borderId="13" xfId="0" applyFont="1" applyFill="1" applyBorder="1"/>
    <xf numFmtId="0" fontId="3" fillId="29" borderId="13" xfId="0" applyFont="1" applyFill="1" applyBorder="1"/>
    <xf numFmtId="174" fontId="3" fillId="0" borderId="12" xfId="0" applyNumberFormat="1" applyFont="1" applyBorder="1"/>
    <xf numFmtId="0" fontId="3" fillId="30" borderId="13" xfId="0" applyFont="1" applyFill="1" applyBorder="1"/>
    <xf numFmtId="0" fontId="3" fillId="30" borderId="12" xfId="0" applyFont="1" applyFill="1" applyBorder="1"/>
    <xf numFmtId="164" fontId="3" fillId="0" borderId="15" xfId="0" applyNumberFormat="1" applyFont="1" applyBorder="1"/>
    <xf numFmtId="0" fontId="3" fillId="31" borderId="13" xfId="0" applyFont="1" applyFill="1" applyBorder="1"/>
    <xf numFmtId="165" fontId="3" fillId="0" borderId="13" xfId="0" applyNumberFormat="1" applyFont="1" applyBorder="1"/>
    <xf numFmtId="0" fontId="3" fillId="32" borderId="13" xfId="0" applyFont="1" applyFill="1" applyBorder="1"/>
    <xf numFmtId="0" fontId="3" fillId="33" borderId="13" xfId="0" applyFont="1" applyFill="1" applyBorder="1"/>
    <xf numFmtId="0" fontId="3" fillId="34" borderId="13" xfId="0" applyFont="1" applyFill="1" applyBorder="1"/>
    <xf numFmtId="0" fontId="3" fillId="35" borderId="13" xfId="0" applyFont="1" applyFill="1" applyBorder="1"/>
    <xf numFmtId="0" fontId="3" fillId="36" borderId="13" xfId="0" applyFont="1" applyFill="1" applyBorder="1"/>
    <xf numFmtId="0" fontId="3" fillId="37" borderId="13" xfId="0" applyFont="1" applyFill="1" applyBorder="1"/>
    <xf numFmtId="0" fontId="3" fillId="0" borderId="21" xfId="0" applyFont="1" applyFill="1" applyBorder="1"/>
    <xf numFmtId="0" fontId="3" fillId="26" borderId="21" xfId="0" applyFont="1" applyFill="1" applyBorder="1"/>
    <xf numFmtId="0" fontId="3" fillId="0" borderId="21" xfId="0" applyFont="1" applyBorder="1"/>
    <xf numFmtId="174" fontId="3" fillId="0" borderId="21" xfId="0" applyNumberFormat="1" applyFont="1" applyBorder="1"/>
    <xf numFmtId="43" fontId="3" fillId="0" borderId="21" xfId="0" applyNumberFormat="1" applyFont="1" applyBorder="1"/>
    <xf numFmtId="174" fontId="3" fillId="0" borderId="0" xfId="0" applyNumberFormat="1" applyFont="1"/>
    <xf numFmtId="43" fontId="3" fillId="0" borderId="0" xfId="0" applyNumberFormat="1" applyFont="1"/>
    <xf numFmtId="0" fontId="3" fillId="26" borderId="32" xfId="0" applyFont="1" applyFill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43" fontId="3" fillId="0" borderId="33" xfId="0" applyNumberFormat="1" applyFont="1" applyBorder="1"/>
    <xf numFmtId="0" fontId="3" fillId="26" borderId="17" xfId="0" applyFont="1" applyFill="1" applyBorder="1"/>
    <xf numFmtId="176" fontId="3" fillId="0" borderId="0" xfId="0" applyNumberFormat="1" applyFont="1" applyBorder="1"/>
    <xf numFmtId="179" fontId="3" fillId="0" borderId="0" xfId="0" applyNumberFormat="1" applyFont="1" applyBorder="1"/>
    <xf numFmtId="0" fontId="3" fillId="0" borderId="24" xfId="0" applyFont="1" applyBorder="1"/>
    <xf numFmtId="43" fontId="3" fillId="0" borderId="24" xfId="0" applyNumberFormat="1" applyFont="1" applyBorder="1"/>
    <xf numFmtId="0" fontId="3" fillId="26" borderId="18" xfId="0" applyFont="1" applyFill="1" applyBorder="1"/>
    <xf numFmtId="171" fontId="3" fillId="24" borderId="0" xfId="0" applyNumberFormat="1" applyFont="1" applyFill="1" applyBorder="1"/>
    <xf numFmtId="0" fontId="3" fillId="25" borderId="24" xfId="0" applyFont="1" applyFill="1" applyBorder="1"/>
    <xf numFmtId="165" fontId="3" fillId="0" borderId="0" xfId="0" applyNumberFormat="1" applyFont="1" applyBorder="1"/>
    <xf numFmtId="174" fontId="3" fillId="0" borderId="0" xfId="0" applyNumberFormat="1" applyFont="1" applyBorder="1"/>
    <xf numFmtId="0" fontId="3" fillId="0" borderId="16" xfId="0" applyFont="1" applyBorder="1"/>
    <xf numFmtId="0" fontId="3" fillId="0" borderId="24" xfId="0" applyFont="1" applyFill="1" applyBorder="1"/>
    <xf numFmtId="41" fontId="3" fillId="25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26" borderId="34" xfId="0" applyFont="1" applyFill="1" applyBorder="1" applyAlignment="1">
      <alignment horizontal="center" wrapText="1"/>
    </xf>
    <xf numFmtId="0" fontId="3" fillId="26" borderId="19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24" borderId="19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 wrapText="1"/>
    </xf>
    <xf numFmtId="0" fontId="3" fillId="27" borderId="34" xfId="0" applyFont="1" applyFill="1" applyBorder="1" applyAlignment="1">
      <alignment horizontal="center" wrapText="1"/>
    </xf>
    <xf numFmtId="0" fontId="3" fillId="29" borderId="34" xfId="0" applyFont="1" applyFill="1" applyBorder="1" applyAlignment="1">
      <alignment horizontal="center" wrapText="1"/>
    </xf>
    <xf numFmtId="0" fontId="3" fillId="30" borderId="31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31" borderId="34" xfId="0" applyFont="1" applyFill="1" applyBorder="1" applyAlignment="1">
      <alignment horizontal="center" wrapText="1"/>
    </xf>
    <xf numFmtId="0" fontId="3" fillId="31" borderId="19" xfId="0" applyFont="1" applyFill="1" applyBorder="1" applyAlignment="1">
      <alignment horizontal="center" wrapText="1"/>
    </xf>
    <xf numFmtId="0" fontId="3" fillId="32" borderId="34" xfId="0" applyFont="1" applyFill="1" applyBorder="1" applyAlignment="1">
      <alignment horizontal="center" wrapText="1"/>
    </xf>
    <xf numFmtId="0" fontId="3" fillId="32" borderId="19" xfId="0" applyFont="1" applyFill="1" applyBorder="1" applyAlignment="1">
      <alignment horizontal="center" wrapText="1"/>
    </xf>
    <xf numFmtId="0" fontId="3" fillId="33" borderId="34" xfId="0" applyFont="1" applyFill="1" applyBorder="1" applyAlignment="1">
      <alignment horizontal="center" wrapText="1"/>
    </xf>
    <xf numFmtId="0" fontId="3" fillId="34" borderId="34" xfId="0" applyFont="1" applyFill="1" applyBorder="1" applyAlignment="1">
      <alignment horizontal="center" wrapText="1"/>
    </xf>
    <xf numFmtId="0" fontId="3" fillId="35" borderId="32" xfId="0" applyFont="1" applyFill="1" applyBorder="1" applyAlignment="1">
      <alignment horizontal="center" wrapText="1"/>
    </xf>
    <xf numFmtId="0" fontId="3" fillId="35" borderId="19" xfId="0" applyFont="1" applyFill="1" applyBorder="1" applyAlignment="1">
      <alignment horizontal="center" wrapText="1"/>
    </xf>
    <xf numFmtId="0" fontId="3" fillId="36" borderId="34" xfId="0" applyFont="1" applyFill="1" applyBorder="1" applyAlignment="1">
      <alignment horizontal="center" wrapText="1"/>
    </xf>
    <xf numFmtId="0" fontId="3" fillId="37" borderId="34" xfId="0" applyFont="1" applyFill="1" applyBorder="1" applyAlignment="1">
      <alignment horizontal="center" wrapText="1"/>
    </xf>
    <xf numFmtId="174" fontId="3" fillId="0" borderId="16" xfId="0" applyNumberFormat="1" applyFont="1" applyBorder="1"/>
    <xf numFmtId="174" fontId="3" fillId="24" borderId="0" xfId="0" applyNumberFormat="1" applyFont="1" applyFill="1" applyBorder="1"/>
    <xf numFmtId="167" fontId="3" fillId="0" borderId="10" xfId="0" applyNumberFormat="1" applyFont="1" applyBorder="1"/>
    <xf numFmtId="167" fontId="3" fillId="0" borderId="11" xfId="0" applyNumberFormat="1" applyFont="1" applyBorder="1"/>
    <xf numFmtId="174" fontId="3" fillId="0" borderId="17" xfId="0" applyNumberFormat="1" applyFont="1" applyBorder="1"/>
    <xf numFmtId="0" fontId="3" fillId="35" borderId="0" xfId="0" applyFont="1" applyFill="1" applyBorder="1"/>
    <xf numFmtId="0" fontId="3" fillId="0" borderId="12" xfId="0" applyFont="1" applyFill="1" applyBorder="1"/>
    <xf numFmtId="0" fontId="3" fillId="32" borderId="12" xfId="0" applyFont="1" applyFill="1" applyBorder="1"/>
    <xf numFmtId="0" fontId="3" fillId="35" borderId="12" xfId="0" applyFont="1" applyFill="1" applyBorder="1"/>
    <xf numFmtId="0" fontId="3" fillId="26" borderId="0" xfId="0" applyFont="1" applyFill="1"/>
    <xf numFmtId="167" fontId="3" fillId="0" borderId="0" xfId="0" applyNumberFormat="1" applyFont="1"/>
    <xf numFmtId="0" fontId="3" fillId="26" borderId="31" xfId="0" applyFont="1" applyFill="1" applyBorder="1"/>
    <xf numFmtId="174" fontId="3" fillId="0" borderId="33" xfId="0" applyNumberFormat="1" applyFont="1" applyBorder="1"/>
    <xf numFmtId="181" fontId="3" fillId="0" borderId="0" xfId="0" applyNumberFormat="1" applyFont="1" applyFill="1" applyBorder="1"/>
    <xf numFmtId="0" fontId="3" fillId="0" borderId="39" xfId="0" applyFont="1" applyFill="1" applyBorder="1"/>
    <xf numFmtId="0" fontId="3" fillId="0" borderId="0" xfId="0" applyFont="1" applyFill="1" applyBorder="1" applyAlignment="1">
      <alignment horizontal="center" wrapText="1"/>
    </xf>
    <xf numFmtId="165" fontId="3" fillId="0" borderId="0" xfId="0" applyNumberFormat="1" applyFont="1" applyFill="1" applyBorder="1"/>
    <xf numFmtId="173" fontId="3" fillId="0" borderId="0" xfId="0" applyNumberFormat="1" applyFont="1" applyFill="1" applyBorder="1"/>
    <xf numFmtId="169" fontId="3" fillId="0" borderId="0" xfId="0" applyNumberFormat="1" applyFont="1" applyFill="1" applyBorder="1"/>
    <xf numFmtId="181" fontId="3" fillId="0" borderId="24" xfId="0" applyNumberFormat="1" applyFont="1" applyBorder="1"/>
    <xf numFmtId="171" fontId="3" fillId="0" borderId="18" xfId="0" applyNumberFormat="1" applyFont="1" applyFill="1" applyBorder="1"/>
    <xf numFmtId="171" fontId="3" fillId="0" borderId="21" xfId="0" applyNumberFormat="1" applyFont="1" applyFill="1" applyBorder="1"/>
    <xf numFmtId="0" fontId="3" fillId="0" borderId="32" xfId="0" applyFont="1" applyFill="1" applyBorder="1"/>
    <xf numFmtId="0" fontId="3" fillId="0" borderId="39" xfId="0" applyFont="1" applyBorder="1"/>
    <xf numFmtId="2" fontId="3" fillId="0" borderId="0" xfId="0" applyNumberFormat="1" applyFont="1" applyBorder="1"/>
    <xf numFmtId="0" fontId="3" fillId="25" borderId="17" xfId="0" applyFont="1" applyFill="1" applyBorder="1"/>
    <xf numFmtId="174" fontId="3" fillId="0" borderId="0" xfId="0" applyNumberFormat="1" applyFont="1" applyFill="1" applyBorder="1"/>
    <xf numFmtId="0" fontId="3" fillId="0" borderId="23" xfId="0" applyFont="1" applyBorder="1"/>
    <xf numFmtId="171" fontId="3" fillId="25" borderId="18" xfId="0" applyNumberFormat="1" applyFont="1" applyFill="1" applyBorder="1"/>
    <xf numFmtId="0" fontId="3" fillId="28" borderId="31" xfId="0" applyFont="1" applyFill="1" applyBorder="1"/>
    <xf numFmtId="0" fontId="3" fillId="28" borderId="34" xfId="0" applyFont="1" applyFill="1" applyBorder="1" applyAlignment="1">
      <alignment horizontal="center" wrapText="1"/>
    </xf>
    <xf numFmtId="0" fontId="3" fillId="28" borderId="0" xfId="0" applyFont="1" applyFill="1"/>
    <xf numFmtId="0" fontId="3" fillId="28" borderId="18" xfId="0" applyFont="1" applyFill="1" applyBorder="1"/>
  </cellXfs>
  <cellStyles count="276">
    <cellStyle name="20% - Accent1" xfId="1" builtinId="30" customBuiltin="1"/>
    <cellStyle name="20% - Accent1 2" xfId="2" xr:uid="{00000000-0005-0000-0000-000001000000}"/>
    <cellStyle name="20% - Accent1 3" xfId="135" xr:uid="{00000000-0005-0000-0000-000002000000}"/>
    <cellStyle name="20% - Accent1 4" xfId="190" xr:uid="{00000000-0005-0000-0000-000003000000}"/>
    <cellStyle name="20% - Accent1 4 2" xfId="260" xr:uid="{00000000-0005-0000-0000-000004000000}"/>
    <cellStyle name="20% - Accent1 5" xfId="243" xr:uid="{00000000-0005-0000-0000-000005000000}"/>
    <cellStyle name="20% - Accent2" xfId="3" builtinId="34" customBuiltin="1"/>
    <cellStyle name="20% - Accent2 2" xfId="4" xr:uid="{00000000-0005-0000-0000-000007000000}"/>
    <cellStyle name="20% - Accent2 3" xfId="136" xr:uid="{00000000-0005-0000-0000-000008000000}"/>
    <cellStyle name="20% - Accent2 4" xfId="192" xr:uid="{00000000-0005-0000-0000-000009000000}"/>
    <cellStyle name="20% - Accent2 4 2" xfId="262" xr:uid="{00000000-0005-0000-0000-00000A000000}"/>
    <cellStyle name="20% - Accent2 5" xfId="244" xr:uid="{00000000-0005-0000-0000-00000B000000}"/>
    <cellStyle name="20% - Accent3" xfId="5" builtinId="38" customBuiltin="1"/>
    <cellStyle name="20% - Accent3 2" xfId="6" xr:uid="{00000000-0005-0000-0000-00000D000000}"/>
    <cellStyle name="20% - Accent3 3" xfId="137" xr:uid="{00000000-0005-0000-0000-00000E000000}"/>
    <cellStyle name="20% - Accent3 4" xfId="194" xr:uid="{00000000-0005-0000-0000-00000F000000}"/>
    <cellStyle name="20% - Accent3 4 2" xfId="264" xr:uid="{00000000-0005-0000-0000-000010000000}"/>
    <cellStyle name="20% - Accent3 5" xfId="245" xr:uid="{00000000-0005-0000-0000-000011000000}"/>
    <cellStyle name="20% - Accent4" xfId="7" builtinId="42" customBuiltin="1"/>
    <cellStyle name="20% - Accent4 2" xfId="8" xr:uid="{00000000-0005-0000-0000-000013000000}"/>
    <cellStyle name="20% - Accent4 3" xfId="138" xr:uid="{00000000-0005-0000-0000-000014000000}"/>
    <cellStyle name="20% - Accent4 4" xfId="196" xr:uid="{00000000-0005-0000-0000-000015000000}"/>
    <cellStyle name="20% - Accent4 4 2" xfId="266" xr:uid="{00000000-0005-0000-0000-000016000000}"/>
    <cellStyle name="20% - Accent4 5" xfId="246" xr:uid="{00000000-0005-0000-0000-000017000000}"/>
    <cellStyle name="20% - Accent5" xfId="9" builtinId="46" customBuiltin="1"/>
    <cellStyle name="20% - Accent5 2" xfId="10" xr:uid="{00000000-0005-0000-0000-000019000000}"/>
    <cellStyle name="20% - Accent5 3" xfId="139" xr:uid="{00000000-0005-0000-0000-00001A000000}"/>
    <cellStyle name="20% - Accent5 4" xfId="198" xr:uid="{00000000-0005-0000-0000-00001B000000}"/>
    <cellStyle name="20% - Accent5 4 2" xfId="268" xr:uid="{00000000-0005-0000-0000-00001C000000}"/>
    <cellStyle name="20% - Accent5 5" xfId="247" xr:uid="{00000000-0005-0000-0000-00001D000000}"/>
    <cellStyle name="20% - Accent6" xfId="11" builtinId="50" customBuiltin="1"/>
    <cellStyle name="20% - Accent6 2" xfId="12" xr:uid="{00000000-0005-0000-0000-00001F000000}"/>
    <cellStyle name="20% - Accent6 3" xfId="140" xr:uid="{00000000-0005-0000-0000-000020000000}"/>
    <cellStyle name="20% - Accent6 4" xfId="200" xr:uid="{00000000-0005-0000-0000-000021000000}"/>
    <cellStyle name="20% - Accent6 4 2" xfId="270" xr:uid="{00000000-0005-0000-0000-000022000000}"/>
    <cellStyle name="20% - Accent6 5" xfId="248" xr:uid="{00000000-0005-0000-0000-000023000000}"/>
    <cellStyle name="40% - Accent1" xfId="13" builtinId="31" customBuiltin="1"/>
    <cellStyle name="40% - Accent1 2" xfId="14" xr:uid="{00000000-0005-0000-0000-000025000000}"/>
    <cellStyle name="40% - Accent1 3" xfId="141" xr:uid="{00000000-0005-0000-0000-000026000000}"/>
    <cellStyle name="40% - Accent1 4" xfId="191" xr:uid="{00000000-0005-0000-0000-000027000000}"/>
    <cellStyle name="40% - Accent1 4 2" xfId="261" xr:uid="{00000000-0005-0000-0000-000028000000}"/>
    <cellStyle name="40% - Accent1 5" xfId="249" xr:uid="{00000000-0005-0000-0000-000029000000}"/>
    <cellStyle name="40% - Accent2" xfId="15" builtinId="35" customBuiltin="1"/>
    <cellStyle name="40% - Accent2 2" xfId="16" xr:uid="{00000000-0005-0000-0000-00002B000000}"/>
    <cellStyle name="40% - Accent2 3" xfId="142" xr:uid="{00000000-0005-0000-0000-00002C000000}"/>
    <cellStyle name="40% - Accent2 4" xfId="193" xr:uid="{00000000-0005-0000-0000-00002D000000}"/>
    <cellStyle name="40% - Accent2 4 2" xfId="263" xr:uid="{00000000-0005-0000-0000-00002E000000}"/>
    <cellStyle name="40% - Accent2 5" xfId="250" xr:uid="{00000000-0005-0000-0000-00002F000000}"/>
    <cellStyle name="40% - Accent3" xfId="17" builtinId="39" customBuiltin="1"/>
    <cellStyle name="40% - Accent3 2" xfId="18" xr:uid="{00000000-0005-0000-0000-000031000000}"/>
    <cellStyle name="40% - Accent3 3" xfId="143" xr:uid="{00000000-0005-0000-0000-000032000000}"/>
    <cellStyle name="40% - Accent3 4" xfId="195" xr:uid="{00000000-0005-0000-0000-000033000000}"/>
    <cellStyle name="40% - Accent3 4 2" xfId="265" xr:uid="{00000000-0005-0000-0000-000034000000}"/>
    <cellStyle name="40% - Accent3 5" xfId="251" xr:uid="{00000000-0005-0000-0000-000035000000}"/>
    <cellStyle name="40% - Accent4" xfId="19" builtinId="43" customBuiltin="1"/>
    <cellStyle name="40% - Accent4 2" xfId="20" xr:uid="{00000000-0005-0000-0000-000037000000}"/>
    <cellStyle name="40% - Accent4 3" xfId="144" xr:uid="{00000000-0005-0000-0000-000038000000}"/>
    <cellStyle name="40% - Accent4 4" xfId="197" xr:uid="{00000000-0005-0000-0000-000039000000}"/>
    <cellStyle name="40% - Accent4 4 2" xfId="267" xr:uid="{00000000-0005-0000-0000-00003A000000}"/>
    <cellStyle name="40% - Accent4 5" xfId="252" xr:uid="{00000000-0005-0000-0000-00003B000000}"/>
    <cellStyle name="40% - Accent5" xfId="21" builtinId="47" customBuiltin="1"/>
    <cellStyle name="40% - Accent5 2" xfId="22" xr:uid="{00000000-0005-0000-0000-00003D000000}"/>
    <cellStyle name="40% - Accent5 3" xfId="145" xr:uid="{00000000-0005-0000-0000-00003E000000}"/>
    <cellStyle name="40% - Accent5 4" xfId="199" xr:uid="{00000000-0005-0000-0000-00003F000000}"/>
    <cellStyle name="40% - Accent5 4 2" xfId="269" xr:uid="{00000000-0005-0000-0000-000040000000}"/>
    <cellStyle name="40% - Accent5 5" xfId="253" xr:uid="{00000000-0005-0000-0000-000041000000}"/>
    <cellStyle name="40% - Accent6" xfId="23" builtinId="51" customBuiltin="1"/>
    <cellStyle name="40% - Accent6 2" xfId="24" xr:uid="{00000000-0005-0000-0000-000043000000}"/>
    <cellStyle name="40% - Accent6 3" xfId="146" xr:uid="{00000000-0005-0000-0000-000044000000}"/>
    <cellStyle name="40% - Accent6 4" xfId="201" xr:uid="{00000000-0005-0000-0000-000045000000}"/>
    <cellStyle name="40% - Accent6 4 2" xfId="271" xr:uid="{00000000-0005-0000-0000-000046000000}"/>
    <cellStyle name="40% - Accent6 5" xfId="254" xr:uid="{00000000-0005-0000-0000-000047000000}"/>
    <cellStyle name="60% - Accent1" xfId="25" builtinId="32" customBuiltin="1"/>
    <cellStyle name="60% - Accent1 2" xfId="26" xr:uid="{00000000-0005-0000-0000-000049000000}"/>
    <cellStyle name="60% - Accent1 3" xfId="147" xr:uid="{00000000-0005-0000-0000-00004A000000}"/>
    <cellStyle name="60% - Accent2" xfId="27" builtinId="36" customBuiltin="1"/>
    <cellStyle name="60% - Accent2 2" xfId="28" xr:uid="{00000000-0005-0000-0000-00004C000000}"/>
    <cellStyle name="60% - Accent2 3" xfId="148" xr:uid="{00000000-0005-0000-0000-00004D000000}"/>
    <cellStyle name="60% - Accent3" xfId="29" builtinId="40" customBuiltin="1"/>
    <cellStyle name="60% - Accent3 2" xfId="30" xr:uid="{00000000-0005-0000-0000-00004F000000}"/>
    <cellStyle name="60% - Accent3 3" xfId="149" xr:uid="{00000000-0005-0000-0000-000050000000}"/>
    <cellStyle name="60% - Accent4" xfId="31" builtinId="44" customBuiltin="1"/>
    <cellStyle name="60% - Accent4 2" xfId="32" xr:uid="{00000000-0005-0000-0000-000052000000}"/>
    <cellStyle name="60% - Accent4 3" xfId="150" xr:uid="{00000000-0005-0000-0000-000053000000}"/>
    <cellStyle name="60% - Accent5" xfId="33" builtinId="48" customBuiltin="1"/>
    <cellStyle name="60% - Accent5 2" xfId="34" xr:uid="{00000000-0005-0000-0000-000055000000}"/>
    <cellStyle name="60% - Accent5 3" xfId="151" xr:uid="{00000000-0005-0000-0000-000056000000}"/>
    <cellStyle name="60% - Accent6" xfId="35" builtinId="52" customBuiltin="1"/>
    <cellStyle name="60% - Accent6 2" xfId="36" xr:uid="{00000000-0005-0000-0000-000058000000}"/>
    <cellStyle name="60% - Accent6 3" xfId="152" xr:uid="{00000000-0005-0000-0000-000059000000}"/>
    <cellStyle name="Accent1" xfId="37" builtinId="29" customBuiltin="1"/>
    <cellStyle name="Accent1 2" xfId="38" xr:uid="{00000000-0005-0000-0000-00005B000000}"/>
    <cellStyle name="Accent1 3" xfId="153" xr:uid="{00000000-0005-0000-0000-00005C000000}"/>
    <cellStyle name="Accent2" xfId="39" builtinId="33" customBuiltin="1"/>
    <cellStyle name="Accent2 2" xfId="40" xr:uid="{00000000-0005-0000-0000-00005E000000}"/>
    <cellStyle name="Accent2 3" xfId="154" xr:uid="{00000000-0005-0000-0000-00005F000000}"/>
    <cellStyle name="Accent3" xfId="41" builtinId="37" customBuiltin="1"/>
    <cellStyle name="Accent3 2" xfId="42" xr:uid="{00000000-0005-0000-0000-000061000000}"/>
    <cellStyle name="Accent3 3" xfId="155" xr:uid="{00000000-0005-0000-0000-000062000000}"/>
    <cellStyle name="Accent4" xfId="43" builtinId="41" customBuiltin="1"/>
    <cellStyle name="Accent4 2" xfId="44" xr:uid="{00000000-0005-0000-0000-000064000000}"/>
    <cellStyle name="Accent4 3" xfId="156" xr:uid="{00000000-0005-0000-0000-000065000000}"/>
    <cellStyle name="Accent5" xfId="45" builtinId="45" customBuiltin="1"/>
    <cellStyle name="Accent5 2" xfId="46" xr:uid="{00000000-0005-0000-0000-000067000000}"/>
    <cellStyle name="Accent5 3" xfId="157" xr:uid="{00000000-0005-0000-0000-000068000000}"/>
    <cellStyle name="Accent6" xfId="47" builtinId="49" customBuiltin="1"/>
    <cellStyle name="Accent6 2" xfId="48" xr:uid="{00000000-0005-0000-0000-00006A000000}"/>
    <cellStyle name="Accent6 3" xfId="158" xr:uid="{00000000-0005-0000-0000-00006B000000}"/>
    <cellStyle name="Bad" xfId="49" builtinId="27" customBuiltin="1"/>
    <cellStyle name="Bad 2" xfId="50" xr:uid="{00000000-0005-0000-0000-00006D000000}"/>
    <cellStyle name="Bad 3" xfId="159" xr:uid="{00000000-0005-0000-0000-00006E000000}"/>
    <cellStyle name="Calculation" xfId="51" builtinId="22" customBuiltin="1"/>
    <cellStyle name="Calculation 2" xfId="52" xr:uid="{00000000-0005-0000-0000-000070000000}"/>
    <cellStyle name="Calculation 3" xfId="160" xr:uid="{00000000-0005-0000-0000-000071000000}"/>
    <cellStyle name="Check Cell" xfId="53" builtinId="23" customBuiltin="1"/>
    <cellStyle name="Check Cell 2" xfId="54" xr:uid="{00000000-0005-0000-0000-000073000000}"/>
    <cellStyle name="Check Cell 3" xfId="161" xr:uid="{00000000-0005-0000-0000-000074000000}"/>
    <cellStyle name="Comma" xfId="55" builtinId="3"/>
    <cellStyle name="Comma 2" xfId="56" xr:uid="{00000000-0005-0000-0000-000076000000}"/>
    <cellStyle name="Comma 2 2" xfId="57" xr:uid="{00000000-0005-0000-0000-000077000000}"/>
    <cellStyle name="Comma 2 2 2" xfId="204" xr:uid="{00000000-0005-0000-0000-000078000000}"/>
    <cellStyle name="Comma 2 3" xfId="162" xr:uid="{00000000-0005-0000-0000-000079000000}"/>
    <cellStyle name="Comma 3" xfId="58" xr:uid="{00000000-0005-0000-0000-00007A000000}"/>
    <cellStyle name="Comma 3 2" xfId="163" xr:uid="{00000000-0005-0000-0000-00007B000000}"/>
    <cellStyle name="Comma 3 3" xfId="205" xr:uid="{00000000-0005-0000-0000-00007C000000}"/>
    <cellStyle name="Comma 4" xfId="59" xr:uid="{00000000-0005-0000-0000-00007D000000}"/>
    <cellStyle name="Comma 4 2" xfId="164" xr:uid="{00000000-0005-0000-0000-00007E000000}"/>
    <cellStyle name="Comma 5" xfId="60" xr:uid="{00000000-0005-0000-0000-00007F000000}"/>
    <cellStyle name="Comma 5 2" xfId="61" xr:uid="{00000000-0005-0000-0000-000080000000}"/>
    <cellStyle name="Comma 5 2 2" xfId="207" xr:uid="{00000000-0005-0000-0000-000081000000}"/>
    <cellStyle name="Comma 5 3" xfId="62" xr:uid="{00000000-0005-0000-0000-000082000000}"/>
    <cellStyle name="Comma 5 3 2" xfId="208" xr:uid="{00000000-0005-0000-0000-000083000000}"/>
    <cellStyle name="Comma 5 4" xfId="206" xr:uid="{00000000-0005-0000-0000-000084000000}"/>
    <cellStyle name="Comma 6" xfId="63" xr:uid="{00000000-0005-0000-0000-000085000000}"/>
    <cellStyle name="Comma 6 2" xfId="209" xr:uid="{00000000-0005-0000-0000-000086000000}"/>
    <cellStyle name="Comma 6 2 2" xfId="272" xr:uid="{00000000-0005-0000-0000-000087000000}"/>
    <cellStyle name="Comma 6 3" xfId="255" xr:uid="{00000000-0005-0000-0000-000088000000}"/>
    <cellStyle name="Comma 7" xfId="203" xr:uid="{00000000-0005-0000-0000-000089000000}"/>
    <cellStyle name="Comma0" xfId="64" xr:uid="{00000000-0005-0000-0000-00008A000000}"/>
    <cellStyle name="Currency" xfId="65" builtinId="4"/>
    <cellStyle name="Currency 2" xfId="66" xr:uid="{00000000-0005-0000-0000-00008C000000}"/>
    <cellStyle name="Currency 2 2" xfId="166" xr:uid="{00000000-0005-0000-0000-00008D000000}"/>
    <cellStyle name="Currency 2 3" xfId="165" xr:uid="{00000000-0005-0000-0000-00008E000000}"/>
    <cellStyle name="Currency 3" xfId="67" xr:uid="{00000000-0005-0000-0000-00008F000000}"/>
    <cellStyle name="Currency 3 2" xfId="68" xr:uid="{00000000-0005-0000-0000-000090000000}"/>
    <cellStyle name="Currency 3 2 2" xfId="211" xr:uid="{00000000-0005-0000-0000-000091000000}"/>
    <cellStyle name="Currency 3 3" xfId="69" xr:uid="{00000000-0005-0000-0000-000092000000}"/>
    <cellStyle name="Currency 3 3 2" xfId="212" xr:uid="{00000000-0005-0000-0000-000093000000}"/>
    <cellStyle name="Currency 3 4" xfId="167" xr:uid="{00000000-0005-0000-0000-000094000000}"/>
    <cellStyle name="Currency 4" xfId="210" xr:uid="{00000000-0005-0000-0000-000095000000}"/>
    <cellStyle name="Currency0" xfId="70" xr:uid="{00000000-0005-0000-0000-000096000000}"/>
    <cellStyle name="Date" xfId="71" xr:uid="{00000000-0005-0000-0000-000097000000}"/>
    <cellStyle name="Explanatory Text" xfId="72" builtinId="53" customBuiltin="1"/>
    <cellStyle name="Explanatory Text 2" xfId="73" xr:uid="{00000000-0005-0000-0000-000099000000}"/>
    <cellStyle name="Explanatory Text 3" xfId="168" xr:uid="{00000000-0005-0000-0000-00009A000000}"/>
    <cellStyle name="Fixed" xfId="74" xr:uid="{00000000-0005-0000-0000-00009B000000}"/>
    <cellStyle name="Good" xfId="75" builtinId="26" customBuiltin="1"/>
    <cellStyle name="Good 2" xfId="76" xr:uid="{00000000-0005-0000-0000-00009D000000}"/>
    <cellStyle name="Good 3" xfId="169" xr:uid="{00000000-0005-0000-0000-00009E000000}"/>
    <cellStyle name="Heading 1" xfId="77" builtinId="16" customBuiltin="1"/>
    <cellStyle name="Heading 1 2" xfId="78" xr:uid="{00000000-0005-0000-0000-0000A0000000}"/>
    <cellStyle name="Heading 1 3" xfId="170" xr:uid="{00000000-0005-0000-0000-0000A1000000}"/>
    <cellStyle name="Heading 2" xfId="79" builtinId="17" customBuiltin="1"/>
    <cellStyle name="Heading 2 2" xfId="80" xr:uid="{00000000-0005-0000-0000-0000A3000000}"/>
    <cellStyle name="Heading 2 3" xfId="171" xr:uid="{00000000-0005-0000-0000-0000A4000000}"/>
    <cellStyle name="Heading 3" xfId="81" builtinId="18" customBuiltin="1"/>
    <cellStyle name="Heading 3 2" xfId="82" xr:uid="{00000000-0005-0000-0000-0000A6000000}"/>
    <cellStyle name="Heading 3 3" xfId="172" xr:uid="{00000000-0005-0000-0000-0000A7000000}"/>
    <cellStyle name="Heading 4" xfId="83" builtinId="19" customBuiltin="1"/>
    <cellStyle name="Heading 4 2" xfId="84" xr:uid="{00000000-0005-0000-0000-0000A9000000}"/>
    <cellStyle name="Heading 4 3" xfId="173" xr:uid="{00000000-0005-0000-0000-0000AA000000}"/>
    <cellStyle name="Hyperlink 2" xfId="174" xr:uid="{00000000-0005-0000-0000-0000AB000000}"/>
    <cellStyle name="Hyperlink 3" xfId="175" xr:uid="{00000000-0005-0000-0000-0000AC000000}"/>
    <cellStyle name="Input" xfId="85" builtinId="20" customBuiltin="1"/>
    <cellStyle name="Input 2" xfId="86" xr:uid="{00000000-0005-0000-0000-0000AE000000}"/>
    <cellStyle name="Input 3" xfId="176" xr:uid="{00000000-0005-0000-0000-0000AF000000}"/>
    <cellStyle name="Linked Cell" xfId="87" builtinId="24" customBuiltin="1"/>
    <cellStyle name="Linked Cell 2" xfId="88" xr:uid="{00000000-0005-0000-0000-0000B1000000}"/>
    <cellStyle name="Linked Cell 3" xfId="177" xr:uid="{00000000-0005-0000-0000-0000B2000000}"/>
    <cellStyle name="Neutral" xfId="89" builtinId="28" customBuiltin="1"/>
    <cellStyle name="Neutral 2" xfId="90" xr:uid="{00000000-0005-0000-0000-0000B4000000}"/>
    <cellStyle name="Neutral 3" xfId="178" xr:uid="{00000000-0005-0000-0000-0000B5000000}"/>
    <cellStyle name="Normal" xfId="0" builtinId="0"/>
    <cellStyle name="Normal 10" xfId="91" xr:uid="{00000000-0005-0000-0000-0000B7000000}"/>
    <cellStyle name="Normal 10 2" xfId="92" xr:uid="{00000000-0005-0000-0000-0000B8000000}"/>
    <cellStyle name="Normal 10 2 2" xfId="214" xr:uid="{00000000-0005-0000-0000-0000B9000000}"/>
    <cellStyle name="Normal 10 3" xfId="93" xr:uid="{00000000-0005-0000-0000-0000BA000000}"/>
    <cellStyle name="Normal 10 3 2" xfId="215" xr:uid="{00000000-0005-0000-0000-0000BB000000}"/>
    <cellStyle name="Normal 10 4" xfId="213" xr:uid="{00000000-0005-0000-0000-0000BC000000}"/>
    <cellStyle name="Normal 11" xfId="134" xr:uid="{00000000-0005-0000-0000-0000BD000000}"/>
    <cellStyle name="Normal 12" xfId="202" xr:uid="{00000000-0005-0000-0000-0000BE000000}"/>
    <cellStyle name="Normal 13" xfId="189" xr:uid="{00000000-0005-0000-0000-0000BF000000}"/>
    <cellStyle name="Normal 13 2" xfId="259" xr:uid="{00000000-0005-0000-0000-0000C0000000}"/>
    <cellStyle name="Normal 2" xfId="94" xr:uid="{00000000-0005-0000-0000-0000C1000000}"/>
    <cellStyle name="Normal 2 2" xfId="95" xr:uid="{00000000-0005-0000-0000-0000C2000000}"/>
    <cellStyle name="Normal 2 2 2" xfId="180" xr:uid="{00000000-0005-0000-0000-0000C3000000}"/>
    <cellStyle name="Normal 2 3" xfId="96" xr:uid="{00000000-0005-0000-0000-0000C4000000}"/>
    <cellStyle name="Normal 2 3 2" xfId="217" xr:uid="{00000000-0005-0000-0000-0000C5000000}"/>
    <cellStyle name="Normal 2 4" xfId="179" xr:uid="{00000000-0005-0000-0000-0000C6000000}"/>
    <cellStyle name="Normal 2 5" xfId="216" xr:uid="{00000000-0005-0000-0000-0000C7000000}"/>
    <cellStyle name="Normal 2 5 2" xfId="273" xr:uid="{00000000-0005-0000-0000-0000C8000000}"/>
    <cellStyle name="Normal 2 6" xfId="256" xr:uid="{00000000-0005-0000-0000-0000C9000000}"/>
    <cellStyle name="Normal 2_AUG-12 FINAL GL BUDGET AND ACTUAL_rev1" xfId="97" xr:uid="{00000000-0005-0000-0000-0000CA000000}"/>
    <cellStyle name="Normal 3" xfId="98" xr:uid="{00000000-0005-0000-0000-0000CB000000}"/>
    <cellStyle name="Normal 3 2" xfId="182" xr:uid="{00000000-0005-0000-0000-0000CC000000}"/>
    <cellStyle name="Normal 3 3" xfId="181" xr:uid="{00000000-0005-0000-0000-0000CD000000}"/>
    <cellStyle name="Normal 4" xfId="99" xr:uid="{00000000-0005-0000-0000-0000CE000000}"/>
    <cellStyle name="Normal 4 2" xfId="100" xr:uid="{00000000-0005-0000-0000-0000CF000000}"/>
    <cellStyle name="Normal 4 2 2" xfId="219" xr:uid="{00000000-0005-0000-0000-0000D0000000}"/>
    <cellStyle name="Normal 4 3" xfId="101" xr:uid="{00000000-0005-0000-0000-0000D1000000}"/>
    <cellStyle name="Normal 4 3 2" xfId="220" xr:uid="{00000000-0005-0000-0000-0000D2000000}"/>
    <cellStyle name="Normal 4 4" xfId="218" xr:uid="{00000000-0005-0000-0000-0000D3000000}"/>
    <cellStyle name="Normal 5" xfId="102" xr:uid="{00000000-0005-0000-0000-0000D4000000}"/>
    <cellStyle name="Normal 5 2" xfId="103" xr:uid="{00000000-0005-0000-0000-0000D5000000}"/>
    <cellStyle name="Normal 5 2 2" xfId="222" xr:uid="{00000000-0005-0000-0000-0000D6000000}"/>
    <cellStyle name="Normal 5 3" xfId="104" xr:uid="{00000000-0005-0000-0000-0000D7000000}"/>
    <cellStyle name="Normal 5 3 2" xfId="223" xr:uid="{00000000-0005-0000-0000-0000D8000000}"/>
    <cellStyle name="Normal 5 4" xfId="221" xr:uid="{00000000-0005-0000-0000-0000D9000000}"/>
    <cellStyle name="Normal 6" xfId="105" xr:uid="{00000000-0005-0000-0000-0000DA000000}"/>
    <cellStyle name="Normal 6 2" xfId="106" xr:uid="{00000000-0005-0000-0000-0000DB000000}"/>
    <cellStyle name="Normal 6 2 2" xfId="225" xr:uid="{00000000-0005-0000-0000-0000DC000000}"/>
    <cellStyle name="Normal 6 3" xfId="107" xr:uid="{00000000-0005-0000-0000-0000DD000000}"/>
    <cellStyle name="Normal 6 3 2" xfId="226" xr:uid="{00000000-0005-0000-0000-0000DE000000}"/>
    <cellStyle name="Normal 6 4" xfId="224" xr:uid="{00000000-0005-0000-0000-0000DF000000}"/>
    <cellStyle name="Normal 7" xfId="108" xr:uid="{00000000-0005-0000-0000-0000E0000000}"/>
    <cellStyle name="Normal 7 2" xfId="109" xr:uid="{00000000-0005-0000-0000-0000E1000000}"/>
    <cellStyle name="Normal 7 2 2" xfId="228" xr:uid="{00000000-0005-0000-0000-0000E2000000}"/>
    <cellStyle name="Normal 7 3" xfId="110" xr:uid="{00000000-0005-0000-0000-0000E3000000}"/>
    <cellStyle name="Normal 7 3 2" xfId="229" xr:uid="{00000000-0005-0000-0000-0000E4000000}"/>
    <cellStyle name="Normal 7 4" xfId="227" xr:uid="{00000000-0005-0000-0000-0000E5000000}"/>
    <cellStyle name="Normal 8" xfId="111" xr:uid="{00000000-0005-0000-0000-0000E6000000}"/>
    <cellStyle name="Normal 8 2" xfId="112" xr:uid="{00000000-0005-0000-0000-0000E7000000}"/>
    <cellStyle name="Normal 8 2 2" xfId="231" xr:uid="{00000000-0005-0000-0000-0000E8000000}"/>
    <cellStyle name="Normal 8 3" xfId="113" xr:uid="{00000000-0005-0000-0000-0000E9000000}"/>
    <cellStyle name="Normal 8 3 2" xfId="232" xr:uid="{00000000-0005-0000-0000-0000EA000000}"/>
    <cellStyle name="Normal 8 4" xfId="230" xr:uid="{00000000-0005-0000-0000-0000EB000000}"/>
    <cellStyle name="Normal 9" xfId="114" xr:uid="{00000000-0005-0000-0000-0000EC000000}"/>
    <cellStyle name="Normal 9 2" xfId="115" xr:uid="{00000000-0005-0000-0000-0000ED000000}"/>
    <cellStyle name="Normal 9 2 2" xfId="234" xr:uid="{00000000-0005-0000-0000-0000EE000000}"/>
    <cellStyle name="Normal 9 3" xfId="116" xr:uid="{00000000-0005-0000-0000-0000EF000000}"/>
    <cellStyle name="Normal 9 3 2" xfId="235" xr:uid="{00000000-0005-0000-0000-0000F0000000}"/>
    <cellStyle name="Normal 9 4" xfId="233" xr:uid="{00000000-0005-0000-0000-0000F1000000}"/>
    <cellStyle name="Note 2" xfId="117" xr:uid="{00000000-0005-0000-0000-0000F2000000}"/>
    <cellStyle name="Note 2 2" xfId="118" xr:uid="{00000000-0005-0000-0000-0000F3000000}"/>
    <cellStyle name="Note 2 2 2" xfId="237" xr:uid="{00000000-0005-0000-0000-0000F4000000}"/>
    <cellStyle name="Note 2 3" xfId="236" xr:uid="{00000000-0005-0000-0000-0000F5000000}"/>
    <cellStyle name="Note 2 3 2" xfId="274" xr:uid="{00000000-0005-0000-0000-0000F6000000}"/>
    <cellStyle name="Note 2 4" xfId="257" xr:uid="{00000000-0005-0000-0000-0000F7000000}"/>
    <cellStyle name="Note 3" xfId="183" xr:uid="{00000000-0005-0000-0000-0000F8000000}"/>
    <cellStyle name="Output" xfId="119" builtinId="21" customBuiltin="1"/>
    <cellStyle name="Output 2" xfId="120" xr:uid="{00000000-0005-0000-0000-0000FA000000}"/>
    <cellStyle name="Output 3" xfId="184" xr:uid="{00000000-0005-0000-0000-0000FB000000}"/>
    <cellStyle name="Percent" xfId="121" builtinId="5"/>
    <cellStyle name="Percent 2" xfId="122" xr:uid="{00000000-0005-0000-0000-0000FD000000}"/>
    <cellStyle name="Percent 2 2" xfId="185" xr:uid="{00000000-0005-0000-0000-0000FE000000}"/>
    <cellStyle name="Percent 3" xfId="123" xr:uid="{00000000-0005-0000-0000-0000FF000000}"/>
    <cellStyle name="Percent 3 2" xfId="186" xr:uid="{00000000-0005-0000-0000-000000010000}"/>
    <cellStyle name="Percent 4" xfId="124" xr:uid="{00000000-0005-0000-0000-000001010000}"/>
    <cellStyle name="Percent 4 2" xfId="125" xr:uid="{00000000-0005-0000-0000-000002010000}"/>
    <cellStyle name="Percent 4 2 2" xfId="240" xr:uid="{00000000-0005-0000-0000-000003010000}"/>
    <cellStyle name="Percent 4 3" xfId="126" xr:uid="{00000000-0005-0000-0000-000004010000}"/>
    <cellStyle name="Percent 4 3 2" xfId="241" xr:uid="{00000000-0005-0000-0000-000005010000}"/>
    <cellStyle name="Percent 4 4" xfId="239" xr:uid="{00000000-0005-0000-0000-000006010000}"/>
    <cellStyle name="Percent 5" xfId="127" xr:uid="{00000000-0005-0000-0000-000007010000}"/>
    <cellStyle name="Percent 5 2" xfId="242" xr:uid="{00000000-0005-0000-0000-000008010000}"/>
    <cellStyle name="Percent 5 2 2" xfId="275" xr:uid="{00000000-0005-0000-0000-000009010000}"/>
    <cellStyle name="Percent 5 3" xfId="258" xr:uid="{00000000-0005-0000-0000-00000A010000}"/>
    <cellStyle name="Percent 6" xfId="238" xr:uid="{00000000-0005-0000-0000-00000B010000}"/>
    <cellStyle name="Title" xfId="128" builtinId="15" customBuiltin="1"/>
    <cellStyle name="Title 2" xfId="129" xr:uid="{00000000-0005-0000-0000-00000D010000}"/>
    <cellStyle name="Total" xfId="130" builtinId="25" customBuiltin="1"/>
    <cellStyle name="Total 2" xfId="131" xr:uid="{00000000-0005-0000-0000-00000F010000}"/>
    <cellStyle name="Total 3" xfId="187" xr:uid="{00000000-0005-0000-0000-000010010000}"/>
    <cellStyle name="Warning Text" xfId="132" builtinId="11" customBuiltin="1"/>
    <cellStyle name="Warning Text 2" xfId="133" xr:uid="{00000000-0005-0000-0000-000012010000}"/>
    <cellStyle name="Warning Text 3" xfId="188" xr:uid="{00000000-0005-0000-0000-000013010000}"/>
  </cellStyles>
  <dxfs count="7">
    <dxf>
      <numFmt numFmtId="187" formatCode="0_);\(0\)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186" formatCode="[$-409]mmm\-yy;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ta46 SourceData RSH" connectionId="1" xr16:uid="{00000000-0016-0000-0200-000000000000}" autoFormatId="16" applyNumberFormats="0" applyBorderFormats="0" applyFontFormats="0" applyPatternFormats="0" applyAlignmentFormats="0" applyWidthHeightFormats="0">
  <queryTableRefresh nextId="12">
    <queryTableFields count="8">
      <queryTableField id="4" name="date" tableColumnId="4"/>
      <queryTableField id="5" name="division" tableColumnId="5"/>
      <queryTableField id="6" name="srh" tableColumnId="6"/>
      <queryTableField id="7" name="ots" tableColumnId="7"/>
      <queryTableField id="8" name="lh" tableColumnId="8"/>
      <queryTableField id="9" name="bb" tableColumnId="9"/>
      <queryTableField id="10" name="se" tableColumnId="10"/>
      <queryTableField id="11" name="fiscalyear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mta46_SourceData_RSH" displayName="Table_mta46_SourceData_RSH" ref="A1:H241" tableType="queryTable" totalsRowShown="0">
  <autoFilter ref="A1:H241" xr:uid="{00000000-0009-0000-0100-000001000000}"/>
  <tableColumns count="8">
    <tableColumn id="4" xr3:uid="{00000000-0010-0000-0000-000004000000}" uniqueName="4" name="date" queryTableFieldId="4" dataDxfId="6"/>
    <tableColumn id="5" xr3:uid="{00000000-0010-0000-0000-000005000000}" uniqueName="5" name="division" queryTableFieldId="5"/>
    <tableColumn id="6" xr3:uid="{00000000-0010-0000-0000-000006000000}" uniqueName="6" name="SRH" queryTableFieldId="6" dataDxfId="5"/>
    <tableColumn id="7" xr3:uid="{00000000-0010-0000-0000-000007000000}" uniqueName="7" name="ots" queryTableFieldId="7" dataDxfId="4"/>
    <tableColumn id="8" xr3:uid="{00000000-0010-0000-0000-000008000000}" uniqueName="8" name="lh" queryTableFieldId="8" dataDxfId="3"/>
    <tableColumn id="9" xr3:uid="{00000000-0010-0000-0000-000009000000}" uniqueName="9" name="bb" queryTableFieldId="9" dataDxfId="2"/>
    <tableColumn id="10" xr3:uid="{00000000-0010-0000-0000-00000A000000}" uniqueName="10" name="se" queryTableFieldId="10" dataDxfId="1"/>
    <tableColumn id="1" xr3:uid="{00000000-0010-0000-0000-000001000000}" uniqueName="1" name="fiscalyear" queryTableFieldId="1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3"/>
  <sheetViews>
    <sheetView workbookViewId="0">
      <selection activeCell="A4" sqref="A4"/>
    </sheetView>
  </sheetViews>
  <sheetFormatPr defaultRowHeight="12.75"/>
  <sheetData>
    <row r="1" spans="1:1">
      <c r="A1" t="s">
        <v>0</v>
      </c>
    </row>
    <row r="3" spans="1:1">
      <c r="A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3"/>
  <sheetViews>
    <sheetView workbookViewId="0">
      <selection activeCell="P11" sqref="P11"/>
    </sheetView>
  </sheetViews>
  <sheetFormatPr defaultRowHeight="12.75"/>
  <cols>
    <col min="1" max="1" width="15" bestFit="1" customWidth="1"/>
  </cols>
  <sheetData>
    <row r="1" spans="1:14">
      <c r="A1" s="430" t="s">
        <v>2</v>
      </c>
      <c r="B1" s="430" t="s">
        <v>3</v>
      </c>
      <c r="C1" s="430" t="s">
        <v>4</v>
      </c>
      <c r="D1" s="430" t="s">
        <v>5</v>
      </c>
      <c r="E1" s="430" t="s">
        <v>6</v>
      </c>
      <c r="F1" s="430" t="s">
        <v>7</v>
      </c>
      <c r="G1" s="430" t="s">
        <v>8</v>
      </c>
      <c r="H1" s="430" t="s">
        <v>9</v>
      </c>
      <c r="I1" s="430" t="s">
        <v>10</v>
      </c>
      <c r="J1" s="430" t="s">
        <v>11</v>
      </c>
      <c r="K1" s="430" t="s">
        <v>12</v>
      </c>
      <c r="L1" s="430" t="s">
        <v>13</v>
      </c>
      <c r="M1" s="430" t="s">
        <v>14</v>
      </c>
      <c r="N1" s="430" t="s">
        <v>15</v>
      </c>
    </row>
    <row r="2" spans="1:14">
      <c r="A2">
        <v>3201</v>
      </c>
      <c r="B2" s="450">
        <v>52131</v>
      </c>
      <c r="C2" s="450">
        <v>52522</v>
      </c>
      <c r="D2" s="450">
        <v>49554</v>
      </c>
      <c r="E2" s="450">
        <v>51398</v>
      </c>
      <c r="F2" s="450">
        <v>49945</v>
      </c>
      <c r="G2" s="450">
        <v>51398</v>
      </c>
      <c r="H2" s="450">
        <v>51398</v>
      </c>
      <c r="I2" s="450">
        <v>48834</v>
      </c>
      <c r="J2" s="450">
        <v>52131</v>
      </c>
      <c r="K2" s="450">
        <v>51020</v>
      </c>
      <c r="L2" s="450">
        <v>51056</v>
      </c>
      <c r="M2" s="450">
        <v>51020</v>
      </c>
    </row>
    <row r="3" spans="1:14">
      <c r="A3">
        <v>3202</v>
      </c>
      <c r="B3" s="450">
        <v>45037</v>
      </c>
      <c r="C3" s="450">
        <v>45318</v>
      </c>
      <c r="D3" s="450">
        <v>42953</v>
      </c>
      <c r="E3" s="450">
        <v>44520</v>
      </c>
      <c r="F3" s="450">
        <v>43233</v>
      </c>
      <c r="G3" s="450">
        <v>44520</v>
      </c>
      <c r="H3" s="450">
        <v>44520</v>
      </c>
      <c r="I3" s="450">
        <v>42184</v>
      </c>
      <c r="J3" s="450">
        <v>45037</v>
      </c>
      <c r="K3" s="450">
        <v>43988</v>
      </c>
      <c r="L3" s="450">
        <v>44282</v>
      </c>
      <c r="M3" s="450">
        <v>43988</v>
      </c>
    </row>
    <row r="4" spans="1:14">
      <c r="A4">
        <v>3203</v>
      </c>
      <c r="B4" s="450">
        <v>46004</v>
      </c>
      <c r="C4" s="450">
        <v>46147</v>
      </c>
      <c r="D4" s="450">
        <v>43607</v>
      </c>
      <c r="E4" s="450">
        <v>45282</v>
      </c>
      <c r="F4" s="450">
        <v>43750</v>
      </c>
      <c r="G4" s="450">
        <v>45282</v>
      </c>
      <c r="H4" s="450">
        <v>45282</v>
      </c>
      <c r="I4" s="450">
        <v>42796</v>
      </c>
      <c r="J4" s="450">
        <v>46004</v>
      </c>
      <c r="K4" s="450">
        <v>45051</v>
      </c>
      <c r="L4" s="450">
        <v>44703</v>
      </c>
      <c r="M4" s="450">
        <v>45051</v>
      </c>
    </row>
    <row r="5" spans="1:14">
      <c r="A5">
        <v>3205</v>
      </c>
      <c r="B5" s="450">
        <v>46884</v>
      </c>
      <c r="C5" s="450">
        <v>47181</v>
      </c>
      <c r="D5" s="450">
        <v>44278</v>
      </c>
      <c r="E5" s="450">
        <v>46006</v>
      </c>
      <c r="F5" s="450">
        <v>44575</v>
      </c>
      <c r="G5" s="450">
        <v>46006</v>
      </c>
      <c r="H5" s="450">
        <v>46006</v>
      </c>
      <c r="I5" s="450">
        <v>43724</v>
      </c>
      <c r="J5" s="450">
        <v>46884</v>
      </c>
      <c r="K5" s="450">
        <v>46032</v>
      </c>
      <c r="L5" s="450">
        <v>45426</v>
      </c>
      <c r="M5" s="450">
        <v>46032</v>
      </c>
    </row>
    <row r="6" spans="1:14">
      <c r="A6">
        <v>3207</v>
      </c>
      <c r="B6" s="450">
        <v>55622</v>
      </c>
      <c r="C6" s="450">
        <v>55888</v>
      </c>
      <c r="D6" s="450">
        <v>52804</v>
      </c>
      <c r="E6" s="450">
        <v>54802</v>
      </c>
      <c r="F6" s="450">
        <v>53070</v>
      </c>
      <c r="G6" s="450">
        <v>54802</v>
      </c>
      <c r="H6" s="450">
        <v>54802</v>
      </c>
      <c r="I6" s="450">
        <v>51892</v>
      </c>
      <c r="J6" s="450">
        <v>55622</v>
      </c>
      <c r="K6" s="450">
        <v>54444</v>
      </c>
      <c r="L6" s="450">
        <v>54248</v>
      </c>
      <c r="M6" s="450">
        <v>54444</v>
      </c>
    </row>
    <row r="7" spans="1:14">
      <c r="A7">
        <v>3208</v>
      </c>
      <c r="B7" s="450">
        <v>47605</v>
      </c>
      <c r="C7" s="450">
        <v>47756</v>
      </c>
      <c r="D7" s="450">
        <v>44899</v>
      </c>
      <c r="E7" s="450">
        <v>46683</v>
      </c>
      <c r="F7" s="450">
        <v>45050</v>
      </c>
      <c r="G7" s="450">
        <v>46683</v>
      </c>
      <c r="H7" s="450">
        <v>46683</v>
      </c>
      <c r="I7" s="450">
        <v>44188</v>
      </c>
      <c r="J7" s="450">
        <v>47605</v>
      </c>
      <c r="K7" s="450">
        <v>46744</v>
      </c>
      <c r="L7" s="450">
        <v>45911</v>
      </c>
      <c r="M7" s="450">
        <v>46744</v>
      </c>
    </row>
    <row r="8" spans="1:14">
      <c r="A8">
        <v>3209</v>
      </c>
      <c r="B8" s="450">
        <v>60169</v>
      </c>
      <c r="C8" s="450">
        <v>60357</v>
      </c>
      <c r="D8" s="450">
        <v>56771</v>
      </c>
      <c r="E8" s="450">
        <v>59021</v>
      </c>
      <c r="F8" s="450">
        <v>56958</v>
      </c>
      <c r="G8" s="450">
        <v>59021</v>
      </c>
      <c r="H8" s="450">
        <v>59021</v>
      </c>
      <c r="I8" s="450">
        <v>55856</v>
      </c>
      <c r="J8" s="450">
        <v>60169</v>
      </c>
      <c r="K8" s="450">
        <v>59068</v>
      </c>
      <c r="L8" s="450">
        <v>58060</v>
      </c>
      <c r="M8" s="450">
        <v>59068</v>
      </c>
    </row>
    <row r="9" spans="1:14">
      <c r="A9">
        <v>3210</v>
      </c>
      <c r="B9" s="450">
        <v>36475</v>
      </c>
      <c r="C9" s="450">
        <v>36537</v>
      </c>
      <c r="D9" s="450">
        <v>33510</v>
      </c>
      <c r="E9" s="450">
        <v>35083</v>
      </c>
      <c r="F9" s="450">
        <v>33571</v>
      </c>
      <c r="G9" s="450">
        <v>35083</v>
      </c>
      <c r="H9" s="450">
        <v>35083</v>
      </c>
      <c r="I9" s="450">
        <v>33391</v>
      </c>
      <c r="J9" s="450">
        <v>36475</v>
      </c>
      <c r="K9" s="450">
        <v>36295</v>
      </c>
      <c r="L9" s="450">
        <v>33752</v>
      </c>
      <c r="M9" s="450">
        <v>36295</v>
      </c>
    </row>
    <row r="10" spans="1:14">
      <c r="A10">
        <v>3213</v>
      </c>
      <c r="B10" s="450">
        <v>43893</v>
      </c>
      <c r="C10" s="450">
        <v>44128</v>
      </c>
      <c r="D10" s="450">
        <v>41991</v>
      </c>
      <c r="E10" s="450">
        <v>43492</v>
      </c>
      <c r="F10" s="450">
        <v>42227</v>
      </c>
      <c r="G10" s="450">
        <v>43492</v>
      </c>
      <c r="H10" s="450">
        <v>43492</v>
      </c>
      <c r="I10" s="450">
        <v>41125</v>
      </c>
      <c r="J10" s="450">
        <v>43893</v>
      </c>
      <c r="K10" s="450">
        <v>42791</v>
      </c>
      <c r="L10" s="450">
        <v>43328</v>
      </c>
      <c r="M10" s="450">
        <v>42791</v>
      </c>
    </row>
    <row r="11" spans="1:14">
      <c r="A11">
        <v>3215</v>
      </c>
      <c r="B11" s="450">
        <v>63543</v>
      </c>
      <c r="C11" s="450">
        <v>63793</v>
      </c>
      <c r="D11" s="450">
        <v>59986</v>
      </c>
      <c r="E11" s="450">
        <v>62350</v>
      </c>
      <c r="F11" s="450">
        <v>60237</v>
      </c>
      <c r="G11" s="450">
        <v>62350</v>
      </c>
      <c r="H11" s="450">
        <v>62350</v>
      </c>
      <c r="I11" s="450">
        <v>59066</v>
      </c>
      <c r="J11" s="450">
        <v>63543</v>
      </c>
      <c r="K11" s="450">
        <v>62371</v>
      </c>
      <c r="L11" s="450">
        <v>61408</v>
      </c>
      <c r="M11" s="450">
        <v>62371</v>
      </c>
    </row>
    <row r="12" spans="1:14">
      <c r="A12">
        <v>3218</v>
      </c>
      <c r="B12" s="450">
        <v>64468</v>
      </c>
      <c r="C12" s="450">
        <v>64732</v>
      </c>
      <c r="D12" s="450">
        <v>61210</v>
      </c>
      <c r="E12" s="450">
        <v>63529</v>
      </c>
      <c r="F12" s="450">
        <v>61474</v>
      </c>
      <c r="G12" s="450">
        <v>63529</v>
      </c>
      <c r="H12" s="450">
        <v>63529</v>
      </c>
      <c r="I12" s="450">
        <v>60095</v>
      </c>
      <c r="J12" s="450">
        <v>64468</v>
      </c>
      <c r="K12" s="450">
        <v>63089</v>
      </c>
      <c r="L12" s="450">
        <v>62852</v>
      </c>
      <c r="M12" s="450">
        <v>63089</v>
      </c>
    </row>
    <row r="13" spans="1:14">
      <c r="A13" t="s">
        <v>16</v>
      </c>
      <c r="B13" s="451">
        <v>9951.7900000000009</v>
      </c>
      <c r="C13" s="451">
        <v>10004.290000000001</v>
      </c>
      <c r="D13" s="451">
        <v>9357.35</v>
      </c>
      <c r="E13" s="451">
        <v>9734.65</v>
      </c>
      <c r="F13" s="451">
        <v>9409.85</v>
      </c>
      <c r="G13" s="451">
        <v>9734.65</v>
      </c>
      <c r="H13" s="451">
        <v>9734.65</v>
      </c>
      <c r="I13" s="451">
        <v>9249.7000000000007</v>
      </c>
      <c r="J13" s="451">
        <v>9951.7900000000009</v>
      </c>
      <c r="K13" s="451">
        <v>9791.64</v>
      </c>
      <c r="L13" s="451">
        <v>9570</v>
      </c>
      <c r="M13" s="451">
        <v>9791.64</v>
      </c>
    </row>
    <row r="14" spans="1:14">
      <c r="A14" t="s">
        <v>17</v>
      </c>
      <c r="B14" s="451">
        <v>18044.72</v>
      </c>
      <c r="C14" s="451">
        <v>18107.849999999999</v>
      </c>
      <c r="D14" s="451">
        <v>17021.68</v>
      </c>
      <c r="E14" s="451">
        <v>17696.669999999998</v>
      </c>
      <c r="F14" s="451">
        <v>17084.810000000001</v>
      </c>
      <c r="G14" s="451">
        <v>17696.669999999998</v>
      </c>
      <c r="H14" s="451">
        <v>17696.669999999998</v>
      </c>
      <c r="I14" s="451">
        <v>16757.88</v>
      </c>
      <c r="J14" s="451">
        <v>18044.72</v>
      </c>
      <c r="K14" s="451">
        <v>17717.78</v>
      </c>
      <c r="L14" s="451">
        <v>17411.75</v>
      </c>
      <c r="M14" s="451">
        <v>17717.78</v>
      </c>
    </row>
    <row r="15" spans="1:14">
      <c r="A15" t="s">
        <v>18</v>
      </c>
      <c r="B15" s="451">
        <v>14385.53</v>
      </c>
      <c r="C15" s="451">
        <v>14421.22</v>
      </c>
      <c r="D15" s="451">
        <v>13632.22</v>
      </c>
      <c r="E15" s="451">
        <v>14157.78</v>
      </c>
      <c r="F15" s="451">
        <v>13667.91</v>
      </c>
      <c r="G15" s="451">
        <v>14157.78</v>
      </c>
      <c r="H15" s="451">
        <v>14157.78</v>
      </c>
      <c r="I15" s="451">
        <v>13370.1</v>
      </c>
      <c r="J15" s="451">
        <v>14385.53</v>
      </c>
      <c r="K15" s="451">
        <v>14087.71</v>
      </c>
      <c r="L15" s="451">
        <v>13965.73</v>
      </c>
      <c r="M15" s="451">
        <v>14087.71</v>
      </c>
    </row>
    <row r="16" spans="1:14">
      <c r="A16" t="s">
        <v>19</v>
      </c>
      <c r="B16" s="452">
        <v>1135</v>
      </c>
      <c r="C16" s="452">
        <v>1140</v>
      </c>
      <c r="D16" s="452">
        <v>1072</v>
      </c>
      <c r="E16" s="452">
        <v>1114</v>
      </c>
      <c r="F16" s="452">
        <v>1076</v>
      </c>
      <c r="G16" s="452">
        <v>1114</v>
      </c>
      <c r="H16" s="452">
        <v>1114</v>
      </c>
      <c r="I16" s="452">
        <v>1055</v>
      </c>
      <c r="J16" s="452">
        <v>1135</v>
      </c>
      <c r="K16" s="452">
        <v>1115</v>
      </c>
      <c r="L16" s="452">
        <v>1097</v>
      </c>
      <c r="M16" s="452">
        <v>1115</v>
      </c>
    </row>
    <row r="17" spans="1:13">
      <c r="A17" t="s">
        <v>20</v>
      </c>
      <c r="B17" s="453">
        <v>126</v>
      </c>
      <c r="C17" s="453">
        <v>126</v>
      </c>
      <c r="D17" s="453">
        <v>119</v>
      </c>
      <c r="E17" s="453">
        <v>123</v>
      </c>
      <c r="F17" s="453">
        <v>119</v>
      </c>
      <c r="G17" s="453">
        <v>123</v>
      </c>
      <c r="H17" s="453">
        <v>123</v>
      </c>
      <c r="I17" s="453">
        <v>117</v>
      </c>
      <c r="J17" s="453">
        <v>126</v>
      </c>
      <c r="K17" s="453">
        <v>124</v>
      </c>
      <c r="L17" s="453">
        <v>122</v>
      </c>
      <c r="M17" s="453">
        <v>124</v>
      </c>
    </row>
    <row r="18" spans="1:13">
      <c r="A18" t="s">
        <v>21</v>
      </c>
      <c r="B18" s="453">
        <v>319</v>
      </c>
      <c r="C18" s="453">
        <v>320</v>
      </c>
      <c r="D18" s="453">
        <v>301</v>
      </c>
      <c r="E18" s="453">
        <v>313</v>
      </c>
      <c r="F18" s="453">
        <v>302</v>
      </c>
      <c r="G18" s="453">
        <v>313</v>
      </c>
      <c r="H18" s="453">
        <v>313</v>
      </c>
      <c r="I18" s="453">
        <v>296</v>
      </c>
      <c r="J18" s="453">
        <v>319</v>
      </c>
      <c r="K18" s="453">
        <v>313</v>
      </c>
      <c r="L18" s="453">
        <v>308</v>
      </c>
      <c r="M18" s="453">
        <v>313</v>
      </c>
    </row>
    <row r="19" spans="1:13">
      <c r="A19" t="s">
        <v>22</v>
      </c>
      <c r="B19" s="451">
        <v>26327.3</v>
      </c>
      <c r="C19" s="451">
        <v>26425.21</v>
      </c>
      <c r="D19" s="451">
        <v>25127.33</v>
      </c>
      <c r="E19" s="451">
        <v>26045.72</v>
      </c>
      <c r="F19" s="451">
        <v>25225.24</v>
      </c>
      <c r="G19" s="451">
        <v>26045.72</v>
      </c>
      <c r="H19" s="451">
        <v>26101.4</v>
      </c>
      <c r="I19" s="451">
        <v>24532.75</v>
      </c>
      <c r="J19" s="451">
        <v>26327.3</v>
      </c>
      <c r="K19" s="451">
        <v>25690.5</v>
      </c>
      <c r="L19" s="451">
        <v>25862.04</v>
      </c>
      <c r="M19" s="451">
        <v>25690.5</v>
      </c>
    </row>
    <row r="20" spans="1:13">
      <c r="A20" t="s">
        <v>23</v>
      </c>
      <c r="B20" s="451">
        <v>17264.150000000001</v>
      </c>
      <c r="C20" s="451">
        <v>17288.38</v>
      </c>
      <c r="D20" s="451">
        <v>16710.37</v>
      </c>
      <c r="E20" s="451">
        <v>17264.150000000001</v>
      </c>
      <c r="F20" s="451">
        <v>16734.59</v>
      </c>
      <c r="G20" s="451">
        <v>17264.150000000001</v>
      </c>
      <c r="H20" s="451">
        <v>17276.259999999998</v>
      </c>
      <c r="I20" s="451">
        <v>16168.7</v>
      </c>
      <c r="J20" s="451">
        <v>17264.150000000001</v>
      </c>
      <c r="K20" s="451">
        <v>16710.37</v>
      </c>
      <c r="L20" s="451">
        <v>17288.38</v>
      </c>
      <c r="M20" s="451">
        <v>16710.37</v>
      </c>
    </row>
    <row r="21" spans="1:13">
      <c r="A21" t="s">
        <v>24</v>
      </c>
      <c r="B21" s="451">
        <v>19745.64</v>
      </c>
      <c r="C21" s="451">
        <v>19756.25</v>
      </c>
      <c r="D21" s="451">
        <v>18810.22</v>
      </c>
      <c r="E21" s="451">
        <v>19513.27</v>
      </c>
      <c r="F21" s="451">
        <v>18820.830000000002</v>
      </c>
      <c r="G21" s="451">
        <v>19513.27</v>
      </c>
      <c r="H21" s="451">
        <v>19518.63</v>
      </c>
      <c r="I21" s="451">
        <v>18344.8</v>
      </c>
      <c r="J21" s="451">
        <v>19745.64</v>
      </c>
      <c r="K21" s="451">
        <v>19274.96</v>
      </c>
      <c r="L21" s="451">
        <v>19291.509999999998</v>
      </c>
      <c r="M21" s="451">
        <v>19274.96</v>
      </c>
    </row>
    <row r="22" spans="1:13">
      <c r="A22" t="s">
        <v>25</v>
      </c>
      <c r="B22" s="451">
        <v>10837.71</v>
      </c>
      <c r="C22" s="451">
        <v>10857.72</v>
      </c>
      <c r="D22" s="451">
        <v>10260.75</v>
      </c>
      <c r="E22" s="451">
        <v>10659.51</v>
      </c>
      <c r="F22" s="451">
        <v>10280.76</v>
      </c>
      <c r="G22" s="451">
        <v>10659.51</v>
      </c>
      <c r="H22" s="451">
        <v>10669.51</v>
      </c>
      <c r="I22" s="451">
        <v>10050.200000000001</v>
      </c>
      <c r="J22" s="451">
        <v>10837.71</v>
      </c>
      <c r="K22" s="451">
        <v>10617.15</v>
      </c>
      <c r="L22" s="451">
        <v>10501.32</v>
      </c>
      <c r="M22" s="451">
        <v>10617.15</v>
      </c>
    </row>
    <row r="23" spans="1:13">
      <c r="A23" t="s">
        <v>26</v>
      </c>
      <c r="B23" s="451">
        <v>22498.62</v>
      </c>
      <c r="C23" s="451">
        <v>22541.82</v>
      </c>
      <c r="D23" s="451">
        <v>21264.34</v>
      </c>
      <c r="E23" s="451">
        <v>22100.2</v>
      </c>
      <c r="F23" s="451">
        <v>21307.54</v>
      </c>
      <c r="G23" s="451">
        <v>22100.2</v>
      </c>
      <c r="H23" s="451">
        <v>22121.75</v>
      </c>
      <c r="I23" s="451">
        <v>20848.55</v>
      </c>
      <c r="J23" s="451">
        <v>22498.62</v>
      </c>
      <c r="K23" s="451">
        <v>22061.19</v>
      </c>
      <c r="L23" s="451">
        <v>21744.97</v>
      </c>
      <c r="M23" s="451">
        <v>22061.19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251"/>
  <sheetViews>
    <sheetView workbookViewId="0">
      <selection activeCell="M23" sqref="M23"/>
    </sheetView>
  </sheetViews>
  <sheetFormatPr defaultRowHeight="12.75"/>
  <cols>
    <col min="1" max="1" width="7.28515625" style="414" customWidth="1"/>
    <col min="2" max="2" width="10.28515625" bestFit="1" customWidth="1"/>
    <col min="3" max="3" width="8.28515625" style="198" customWidth="1"/>
    <col min="4" max="4" width="7" style="198" customWidth="1"/>
    <col min="5" max="6" width="6.7109375" style="198" customWidth="1"/>
    <col min="7" max="7" width="6.42578125" style="198" customWidth="1"/>
    <col min="8" max="8" width="12" style="432" customWidth="1"/>
    <col min="9" max="9" width="15.7109375" bestFit="1" customWidth="1"/>
    <col min="10" max="10" width="12.7109375" bestFit="1" customWidth="1"/>
    <col min="11" max="11" width="8.140625" bestFit="1" customWidth="1"/>
  </cols>
  <sheetData>
    <row r="1" spans="1:8" s="417" customFormat="1">
      <c r="A1" s="416" t="s">
        <v>27</v>
      </c>
      <c r="B1" s="417" t="s">
        <v>28</v>
      </c>
      <c r="C1" s="418" t="s">
        <v>29</v>
      </c>
      <c r="D1" s="418" t="s">
        <v>30</v>
      </c>
      <c r="E1" s="418" t="s">
        <v>31</v>
      </c>
      <c r="F1" s="418" t="s">
        <v>32</v>
      </c>
      <c r="G1" s="418" t="s">
        <v>33</v>
      </c>
      <c r="H1" s="431" t="s">
        <v>34</v>
      </c>
    </row>
    <row r="2" spans="1:8" s="417" customFormat="1">
      <c r="A2" s="416">
        <v>43647</v>
      </c>
      <c r="B2" s="417">
        <v>1</v>
      </c>
      <c r="C2" s="418">
        <v>52245.909999999996</v>
      </c>
      <c r="D2" s="418">
        <v>507.33342999999991</v>
      </c>
      <c r="E2" s="418">
        <v>841.45000000000016</v>
      </c>
      <c r="F2" s="418">
        <v>3197.2480999999989</v>
      </c>
      <c r="G2" s="418">
        <v>0</v>
      </c>
      <c r="H2" s="431">
        <v>2020</v>
      </c>
    </row>
    <row r="3" spans="1:8" s="417" customFormat="1">
      <c r="A3" s="416">
        <v>43647</v>
      </c>
      <c r="B3" s="417">
        <v>2</v>
      </c>
      <c r="C3" s="418">
        <v>44743.450000000004</v>
      </c>
      <c r="D3" s="418">
        <v>568.51690000000008</v>
      </c>
      <c r="E3" s="418">
        <v>999.4</v>
      </c>
      <c r="F3" s="418">
        <v>0</v>
      </c>
      <c r="G3" s="418">
        <v>0</v>
      </c>
      <c r="H3" s="431">
        <v>2020</v>
      </c>
    </row>
    <row r="4" spans="1:8" s="417" customFormat="1">
      <c r="A4" s="416">
        <v>43647</v>
      </c>
      <c r="B4" s="417">
        <v>3</v>
      </c>
      <c r="C4" s="418">
        <v>44695.830999999991</v>
      </c>
      <c r="D4" s="418">
        <v>310.26638000000008</v>
      </c>
      <c r="E4" s="418">
        <v>1414.916666666667</v>
      </c>
      <c r="F4" s="418">
        <v>21.25</v>
      </c>
      <c r="G4" s="418">
        <v>0</v>
      </c>
      <c r="H4" s="431">
        <v>2020</v>
      </c>
    </row>
    <row r="5" spans="1:8" s="417" customFormat="1">
      <c r="A5" s="416">
        <v>43647</v>
      </c>
      <c r="B5" s="417">
        <v>5</v>
      </c>
      <c r="C5" s="418">
        <v>47273.837999999996</v>
      </c>
      <c r="D5" s="418">
        <v>498.34996999999998</v>
      </c>
      <c r="E5" s="418">
        <v>867.53333333333342</v>
      </c>
      <c r="F5" s="418">
        <v>532.98340000000007</v>
      </c>
      <c r="G5" s="418">
        <v>0</v>
      </c>
      <c r="H5" s="431">
        <v>2020</v>
      </c>
    </row>
    <row r="6" spans="1:8" s="417" customFormat="1">
      <c r="A6" s="416">
        <v>43647</v>
      </c>
      <c r="B6" s="417">
        <v>6</v>
      </c>
      <c r="C6" s="418">
        <v>0</v>
      </c>
      <c r="D6" s="418">
        <v>0</v>
      </c>
      <c r="E6" s="418">
        <v>0</v>
      </c>
      <c r="F6" s="418">
        <v>0</v>
      </c>
      <c r="G6" s="418">
        <v>0</v>
      </c>
      <c r="H6" s="431">
        <v>2020</v>
      </c>
    </row>
    <row r="7" spans="1:8" s="417" customFormat="1">
      <c r="A7" s="416">
        <v>43647</v>
      </c>
      <c r="B7" s="417">
        <v>7</v>
      </c>
      <c r="C7" s="418">
        <v>54239.720000000023</v>
      </c>
      <c r="D7" s="418">
        <v>721.13339999999994</v>
      </c>
      <c r="E7" s="418">
        <v>1898.8500000000001</v>
      </c>
      <c r="F7" s="418">
        <v>0</v>
      </c>
      <c r="G7" s="418">
        <v>0</v>
      </c>
      <c r="H7" s="431">
        <v>2020</v>
      </c>
    </row>
    <row r="8" spans="1:8" s="417" customFormat="1">
      <c r="A8" s="416">
        <v>43647</v>
      </c>
      <c r="B8" s="417">
        <v>8</v>
      </c>
      <c r="C8" s="418">
        <v>47640.049999999996</v>
      </c>
      <c r="D8" s="418">
        <v>205.48333</v>
      </c>
      <c r="E8" s="418">
        <v>378.29999999999995</v>
      </c>
      <c r="F8" s="418">
        <v>0</v>
      </c>
      <c r="G8" s="418">
        <v>10.216670000000001</v>
      </c>
      <c r="H8" s="431">
        <v>2020</v>
      </c>
    </row>
    <row r="9" spans="1:8" s="417" customFormat="1">
      <c r="A9" s="416">
        <v>43647</v>
      </c>
      <c r="B9" s="417">
        <v>9</v>
      </c>
      <c r="C9" s="418">
        <v>58959.8</v>
      </c>
      <c r="D9" s="418">
        <v>223.73339000000001</v>
      </c>
      <c r="E9" s="418">
        <v>612.53333333333319</v>
      </c>
      <c r="F9" s="418">
        <v>0</v>
      </c>
      <c r="G9" s="418">
        <v>0</v>
      </c>
      <c r="H9" s="431">
        <v>2020</v>
      </c>
    </row>
    <row r="10" spans="1:8" s="417" customFormat="1">
      <c r="A10" s="416">
        <v>43647</v>
      </c>
      <c r="B10" s="417">
        <v>10</v>
      </c>
      <c r="C10" s="418">
        <v>39982.615999999995</v>
      </c>
      <c r="D10" s="418">
        <v>409.00016000000005</v>
      </c>
      <c r="E10" s="418">
        <v>732.61666666666679</v>
      </c>
      <c r="F10" s="418">
        <v>0</v>
      </c>
      <c r="G10" s="418">
        <v>45.6</v>
      </c>
      <c r="H10" s="431">
        <v>2020</v>
      </c>
    </row>
    <row r="11" spans="1:8" s="417" customFormat="1">
      <c r="A11" s="416">
        <v>43647</v>
      </c>
      <c r="B11" s="417">
        <v>13</v>
      </c>
      <c r="C11" s="418">
        <v>43390.98</v>
      </c>
      <c r="D11" s="418">
        <v>425.86657000000002</v>
      </c>
      <c r="E11" s="418">
        <v>1423.8833333333332</v>
      </c>
      <c r="F11" s="418">
        <v>0</v>
      </c>
      <c r="G11" s="418">
        <v>0</v>
      </c>
      <c r="H11" s="431">
        <v>2020</v>
      </c>
    </row>
    <row r="12" spans="1:8" s="417" customFormat="1">
      <c r="A12" s="416">
        <v>43647</v>
      </c>
      <c r="B12" s="417">
        <v>15</v>
      </c>
      <c r="C12" s="418">
        <v>63741.470000000016</v>
      </c>
      <c r="D12" s="418">
        <v>496.76684</v>
      </c>
      <c r="E12" s="418">
        <v>699.4</v>
      </c>
      <c r="F12" s="418">
        <v>0</v>
      </c>
      <c r="G12" s="418">
        <v>5.05</v>
      </c>
      <c r="H12" s="431">
        <v>2020</v>
      </c>
    </row>
    <row r="13" spans="1:8" s="417" customFormat="1">
      <c r="A13" s="416">
        <v>43647</v>
      </c>
      <c r="B13" s="417">
        <v>18</v>
      </c>
      <c r="C13" s="418">
        <v>64818</v>
      </c>
      <c r="D13" s="418">
        <v>627.23362999999995</v>
      </c>
      <c r="E13" s="418">
        <v>1113.2666666666664</v>
      </c>
      <c r="F13" s="418">
        <v>559.01660000000004</v>
      </c>
      <c r="G13" s="418">
        <v>3.8166699999999998</v>
      </c>
      <c r="H13" s="431">
        <v>2020</v>
      </c>
    </row>
    <row r="14" spans="1:8" s="417" customFormat="1">
      <c r="A14" s="416">
        <v>43647</v>
      </c>
      <c r="B14" s="417">
        <v>95</v>
      </c>
      <c r="C14" s="418">
        <v>9746.2000000000007</v>
      </c>
      <c r="D14" s="418"/>
      <c r="E14" s="418">
        <v>62.4</v>
      </c>
      <c r="F14" s="418"/>
      <c r="G14" s="418"/>
      <c r="H14" s="431">
        <v>2020</v>
      </c>
    </row>
    <row r="15" spans="1:8" s="417" customFormat="1">
      <c r="A15" s="416">
        <v>43647</v>
      </c>
      <c r="B15" s="417">
        <v>97</v>
      </c>
      <c r="C15" s="418">
        <v>17601.8</v>
      </c>
      <c r="D15" s="418"/>
      <c r="E15" s="418">
        <v>86.6</v>
      </c>
      <c r="F15" s="418"/>
      <c r="G15" s="418"/>
      <c r="H15" s="431">
        <v>2020</v>
      </c>
    </row>
    <row r="16" spans="1:8" s="417" customFormat="1">
      <c r="A16" s="416">
        <v>43647</v>
      </c>
      <c r="B16" s="417">
        <v>98</v>
      </c>
      <c r="C16" s="418">
        <v>14012.1</v>
      </c>
      <c r="D16" s="418"/>
      <c r="E16" s="418">
        <v>93.8</v>
      </c>
      <c r="F16" s="418"/>
      <c r="G16" s="418"/>
      <c r="H16" s="431">
        <v>2020</v>
      </c>
    </row>
    <row r="17" spans="1:8" s="417" customFormat="1">
      <c r="A17" s="416">
        <v>43647</v>
      </c>
      <c r="B17" s="417">
        <v>801</v>
      </c>
      <c r="C17" s="418">
        <v>11058.949999999999</v>
      </c>
      <c r="D17" s="418">
        <v>0</v>
      </c>
      <c r="E17" s="418">
        <v>14.500000000000002</v>
      </c>
      <c r="F17" s="418"/>
      <c r="G17" s="418"/>
      <c r="H17" s="431">
        <v>2020</v>
      </c>
    </row>
    <row r="18" spans="1:8" s="417" customFormat="1">
      <c r="A18" s="416">
        <v>43647</v>
      </c>
      <c r="B18" s="417">
        <v>802</v>
      </c>
      <c r="C18" s="418">
        <v>26341.059999999998</v>
      </c>
      <c r="D18" s="418">
        <v>0</v>
      </c>
      <c r="E18" s="418">
        <v>59.695605169954455</v>
      </c>
      <c r="F18" s="418"/>
      <c r="G18" s="418"/>
      <c r="H18" s="431">
        <v>2020</v>
      </c>
    </row>
    <row r="19" spans="1:8" s="417" customFormat="1">
      <c r="A19" s="416">
        <v>43647</v>
      </c>
      <c r="B19" s="417">
        <v>803</v>
      </c>
      <c r="C19" s="418">
        <v>9492.9599999999991</v>
      </c>
      <c r="D19" s="418">
        <v>0</v>
      </c>
      <c r="E19" s="418">
        <v>8.9093706913111497</v>
      </c>
      <c r="F19" s="418"/>
      <c r="G19" s="418"/>
      <c r="H19" s="431">
        <v>2020</v>
      </c>
    </row>
    <row r="20" spans="1:8" s="417" customFormat="1">
      <c r="A20" s="416">
        <v>43647</v>
      </c>
      <c r="B20" s="417">
        <v>804</v>
      </c>
      <c r="C20" s="418">
        <v>23861.190000000002</v>
      </c>
      <c r="D20" s="418">
        <v>0</v>
      </c>
      <c r="E20" s="418">
        <v>30.912200282820212</v>
      </c>
      <c r="F20" s="418"/>
      <c r="G20" s="418"/>
      <c r="H20" s="431">
        <v>2020</v>
      </c>
    </row>
    <row r="21" spans="1:8">
      <c r="A21" s="414">
        <v>43647</v>
      </c>
      <c r="B21">
        <v>806</v>
      </c>
      <c r="C21" s="418">
        <v>20357.550000000007</v>
      </c>
      <c r="D21" s="418">
        <v>0</v>
      </c>
      <c r="E21" s="418">
        <v>14.1</v>
      </c>
      <c r="F21" s="418"/>
      <c r="G21" s="418"/>
      <c r="H21" s="432">
        <v>2020</v>
      </c>
    </row>
    <row r="22" spans="1:8">
      <c r="A22" s="414">
        <v>43678</v>
      </c>
      <c r="B22">
        <v>1</v>
      </c>
      <c r="C22" s="418">
        <v>52168.39</v>
      </c>
      <c r="D22" s="418">
        <v>507.39987000000002</v>
      </c>
      <c r="E22" s="418">
        <v>826.83333333333326</v>
      </c>
      <c r="F22" s="418">
        <v>2393.3994000000002</v>
      </c>
      <c r="G22" s="418">
        <v>18.216670000000001</v>
      </c>
      <c r="H22" s="432">
        <v>2020</v>
      </c>
    </row>
    <row r="23" spans="1:8">
      <c r="A23" s="414">
        <v>43678</v>
      </c>
      <c r="B23">
        <v>2</v>
      </c>
      <c r="C23" s="418">
        <v>45285.617000000006</v>
      </c>
      <c r="D23" s="418">
        <v>706.19990000000018</v>
      </c>
      <c r="E23" s="418">
        <v>940.78333333333353</v>
      </c>
      <c r="F23" s="418">
        <v>0</v>
      </c>
      <c r="G23" s="418">
        <v>0</v>
      </c>
      <c r="H23" s="432">
        <v>2020</v>
      </c>
    </row>
    <row r="24" spans="1:8">
      <c r="A24" s="414">
        <v>43678</v>
      </c>
      <c r="B24">
        <v>3</v>
      </c>
      <c r="C24" s="418">
        <v>45725.35</v>
      </c>
      <c r="D24" s="418">
        <v>453.81669999999991</v>
      </c>
      <c r="E24" s="418">
        <v>1098.3333333333333</v>
      </c>
      <c r="F24" s="418">
        <v>0</v>
      </c>
      <c r="G24" s="418">
        <v>0</v>
      </c>
      <c r="H24" s="432">
        <v>2020</v>
      </c>
    </row>
    <row r="25" spans="1:8">
      <c r="A25" s="414">
        <v>43678</v>
      </c>
      <c r="B25">
        <v>5</v>
      </c>
      <c r="C25" s="418">
        <v>47818.527000000009</v>
      </c>
      <c r="D25" s="418">
        <v>675.73337000000004</v>
      </c>
      <c r="E25" s="418">
        <v>1024.4166666666667</v>
      </c>
      <c r="F25" s="418">
        <v>729.23320000000001</v>
      </c>
      <c r="G25" s="418">
        <v>0</v>
      </c>
      <c r="H25" s="432">
        <v>2020</v>
      </c>
    </row>
    <row r="26" spans="1:8">
      <c r="A26" s="414">
        <v>43678</v>
      </c>
      <c r="B26">
        <v>6</v>
      </c>
      <c r="C26" s="418">
        <v>0</v>
      </c>
      <c r="D26" s="418">
        <v>0</v>
      </c>
      <c r="E26" s="418">
        <v>0</v>
      </c>
      <c r="F26" s="418">
        <v>0</v>
      </c>
      <c r="G26" s="418">
        <v>0</v>
      </c>
      <c r="H26" s="432">
        <v>2020</v>
      </c>
    </row>
    <row r="27" spans="1:8">
      <c r="A27" s="414">
        <v>43678</v>
      </c>
      <c r="B27">
        <v>7</v>
      </c>
      <c r="C27" s="418">
        <v>54621.450000000004</v>
      </c>
      <c r="D27" s="418">
        <v>892.45010000000002</v>
      </c>
      <c r="E27" s="418">
        <v>1951.4</v>
      </c>
      <c r="F27" s="418">
        <v>0</v>
      </c>
      <c r="G27" s="418">
        <v>3.48333</v>
      </c>
      <c r="H27" s="432">
        <v>2020</v>
      </c>
    </row>
    <row r="28" spans="1:8">
      <c r="A28" s="414">
        <v>43678</v>
      </c>
      <c r="B28">
        <v>8</v>
      </c>
      <c r="C28" s="418">
        <v>48009.82</v>
      </c>
      <c r="D28" s="418">
        <v>262.21661000000006</v>
      </c>
      <c r="E28" s="418">
        <v>461.96666666666658</v>
      </c>
      <c r="F28" s="418">
        <v>0</v>
      </c>
      <c r="G28" s="418">
        <v>0</v>
      </c>
      <c r="H28" s="432">
        <v>2020</v>
      </c>
    </row>
    <row r="29" spans="1:8">
      <c r="A29" s="414">
        <v>43678</v>
      </c>
      <c r="B29">
        <v>9</v>
      </c>
      <c r="C29" s="418">
        <v>59060.37999999999</v>
      </c>
      <c r="D29" s="418">
        <v>269.16678999999999</v>
      </c>
      <c r="E29" s="418">
        <v>720.2</v>
      </c>
      <c r="F29" s="418">
        <v>13.333299999999999</v>
      </c>
      <c r="G29" s="418">
        <v>5.05</v>
      </c>
      <c r="H29" s="432">
        <v>2020</v>
      </c>
    </row>
    <row r="30" spans="1:8">
      <c r="A30" s="414">
        <v>43678</v>
      </c>
      <c r="B30">
        <v>10</v>
      </c>
      <c r="C30" s="418">
        <v>39688.889999999992</v>
      </c>
      <c r="D30" s="418">
        <v>513.93323699999996</v>
      </c>
      <c r="E30" s="418">
        <v>922.63333333333344</v>
      </c>
      <c r="F30" s="418">
        <v>0</v>
      </c>
      <c r="G30" s="418">
        <v>28.000000000000004</v>
      </c>
      <c r="H30" s="432">
        <v>2020</v>
      </c>
    </row>
    <row r="31" spans="1:8">
      <c r="A31" s="414">
        <v>43678</v>
      </c>
      <c r="B31">
        <v>13</v>
      </c>
      <c r="C31" s="418">
        <v>43135.399999999994</v>
      </c>
      <c r="D31" s="418">
        <v>577.98318999999992</v>
      </c>
      <c r="E31" s="418">
        <v>1963.5833333333335</v>
      </c>
      <c r="F31" s="418">
        <v>1</v>
      </c>
      <c r="G31" s="418">
        <v>0</v>
      </c>
      <c r="H31" s="432">
        <v>2020</v>
      </c>
    </row>
    <row r="32" spans="1:8">
      <c r="A32" s="414">
        <v>43678</v>
      </c>
      <c r="B32">
        <v>15</v>
      </c>
      <c r="C32" s="418">
        <v>64266.750000000007</v>
      </c>
      <c r="D32" s="418">
        <v>677.63327000000004</v>
      </c>
      <c r="E32" s="418">
        <v>827.35</v>
      </c>
      <c r="F32" s="418">
        <v>0</v>
      </c>
      <c r="G32" s="418">
        <v>15.316700000000001</v>
      </c>
      <c r="H32" s="432">
        <v>2020</v>
      </c>
    </row>
    <row r="33" spans="1:8">
      <c r="A33" s="414">
        <v>43678</v>
      </c>
      <c r="B33">
        <v>18</v>
      </c>
      <c r="C33" s="418">
        <v>66033.66</v>
      </c>
      <c r="D33" s="418">
        <v>775.68323999999996</v>
      </c>
      <c r="E33" s="418">
        <v>1028.5</v>
      </c>
      <c r="F33" s="418">
        <v>748.58330000000001</v>
      </c>
      <c r="G33" s="418">
        <v>19.3</v>
      </c>
      <c r="H33" s="432">
        <v>2020</v>
      </c>
    </row>
    <row r="34" spans="1:8">
      <c r="A34" s="414">
        <v>43678</v>
      </c>
      <c r="B34">
        <v>95</v>
      </c>
      <c r="C34" s="418">
        <v>9746.2000000000007</v>
      </c>
      <c r="D34" s="418"/>
      <c r="E34" s="418">
        <v>62.4</v>
      </c>
      <c r="F34" s="418"/>
      <c r="G34" s="418"/>
      <c r="H34" s="432">
        <v>2020</v>
      </c>
    </row>
    <row r="35" spans="1:8">
      <c r="A35" s="414">
        <v>43678</v>
      </c>
      <c r="B35">
        <v>97</v>
      </c>
      <c r="C35" s="418">
        <v>17663.3</v>
      </c>
      <c r="D35" s="418"/>
      <c r="E35" s="418">
        <v>59.3</v>
      </c>
      <c r="F35" s="418"/>
      <c r="G35" s="418"/>
      <c r="H35" s="432">
        <v>2020</v>
      </c>
    </row>
    <row r="36" spans="1:8">
      <c r="A36" s="414">
        <v>43678</v>
      </c>
      <c r="B36">
        <v>98</v>
      </c>
      <c r="C36" s="418">
        <v>14117.9</v>
      </c>
      <c r="D36" s="418"/>
      <c r="E36" s="418">
        <v>35.799999999999997</v>
      </c>
      <c r="F36" s="418"/>
      <c r="G36" s="418"/>
      <c r="H36" s="432">
        <v>2020</v>
      </c>
    </row>
    <row r="37" spans="1:8">
      <c r="A37" s="414">
        <v>43678</v>
      </c>
      <c r="B37">
        <v>801</v>
      </c>
      <c r="C37" s="418">
        <v>10878.709999999995</v>
      </c>
      <c r="D37" s="418">
        <v>0</v>
      </c>
      <c r="E37" s="418">
        <v>49.300000000000004</v>
      </c>
      <c r="F37" s="418"/>
      <c r="G37" s="418"/>
      <c r="H37" s="432">
        <v>2020</v>
      </c>
    </row>
    <row r="38" spans="1:8">
      <c r="A38" s="414">
        <v>43678</v>
      </c>
      <c r="B38">
        <v>802</v>
      </c>
      <c r="C38" s="418">
        <v>27498.800000000007</v>
      </c>
      <c r="D38" s="418">
        <v>0</v>
      </c>
      <c r="E38" s="418">
        <v>52.291743816851508</v>
      </c>
      <c r="F38" s="418"/>
      <c r="G38" s="418"/>
      <c r="H38" s="432">
        <v>2020</v>
      </c>
    </row>
    <row r="39" spans="1:8">
      <c r="A39" s="414">
        <v>43678</v>
      </c>
      <c r="B39">
        <v>803</v>
      </c>
      <c r="C39" s="418">
        <v>9454.01</v>
      </c>
      <c r="D39" s="418">
        <v>0</v>
      </c>
      <c r="E39" s="418">
        <v>17.76670104140279</v>
      </c>
      <c r="F39" s="418"/>
      <c r="G39" s="418"/>
      <c r="H39" s="432">
        <v>2020</v>
      </c>
    </row>
    <row r="40" spans="1:8">
      <c r="A40" s="414">
        <v>43678</v>
      </c>
      <c r="B40">
        <v>804</v>
      </c>
      <c r="C40" s="418">
        <v>23991.099999999995</v>
      </c>
      <c r="D40" s="418">
        <v>0</v>
      </c>
      <c r="E40" s="418">
        <v>178.04779538487736</v>
      </c>
      <c r="F40" s="418"/>
      <c r="G40" s="418"/>
      <c r="H40" s="432">
        <v>2020</v>
      </c>
    </row>
    <row r="41" spans="1:8">
      <c r="A41" s="414">
        <v>43678</v>
      </c>
      <c r="B41">
        <v>806</v>
      </c>
      <c r="C41" s="418">
        <v>20296.39</v>
      </c>
      <c r="D41" s="418">
        <v>0</v>
      </c>
      <c r="E41" s="418">
        <v>44.376643923406782</v>
      </c>
      <c r="F41" s="418"/>
      <c r="G41" s="418"/>
      <c r="H41" s="432">
        <v>2020</v>
      </c>
    </row>
    <row r="42" spans="1:8">
      <c r="A42" s="414">
        <v>43709</v>
      </c>
      <c r="B42">
        <v>1</v>
      </c>
      <c r="C42" s="418">
        <v>46392.219999999994</v>
      </c>
      <c r="D42" s="418">
        <v>515.01674000000014</v>
      </c>
      <c r="E42" s="418">
        <v>1277.9166666666665</v>
      </c>
      <c r="F42" s="418">
        <v>91.649770000000018</v>
      </c>
      <c r="G42" s="418">
        <v>42.500030000000002</v>
      </c>
      <c r="H42" s="432">
        <v>2020</v>
      </c>
    </row>
    <row r="43" spans="1:8">
      <c r="A43" s="414">
        <v>43709</v>
      </c>
      <c r="B43">
        <v>2</v>
      </c>
      <c r="C43" s="418">
        <v>42791.166999999994</v>
      </c>
      <c r="D43" s="418">
        <v>918.46667000000002</v>
      </c>
      <c r="E43" s="418">
        <v>928.31666666666649</v>
      </c>
      <c r="F43" s="418">
        <v>0</v>
      </c>
      <c r="G43" s="418">
        <v>9.2833299999999994</v>
      </c>
      <c r="H43" s="432">
        <v>2020</v>
      </c>
    </row>
    <row r="44" spans="1:8">
      <c r="A44" s="414">
        <v>43709</v>
      </c>
      <c r="B44">
        <v>3</v>
      </c>
      <c r="C44" s="418">
        <v>43205.996999999996</v>
      </c>
      <c r="D44" s="418">
        <v>486.53340999999989</v>
      </c>
      <c r="E44" s="418">
        <v>1069.3666666666666</v>
      </c>
      <c r="F44" s="418">
        <v>30</v>
      </c>
      <c r="G44" s="418">
        <v>0</v>
      </c>
      <c r="H44" s="432">
        <v>2020</v>
      </c>
    </row>
    <row r="45" spans="1:8">
      <c r="A45" s="414">
        <v>43709</v>
      </c>
      <c r="B45">
        <v>5</v>
      </c>
      <c r="C45" s="418">
        <v>44606.847000000002</v>
      </c>
      <c r="D45" s="418">
        <v>913.19990000000007</v>
      </c>
      <c r="E45" s="418">
        <v>1113.3</v>
      </c>
      <c r="F45" s="418">
        <v>514.1001</v>
      </c>
      <c r="G45" s="418">
        <v>4.2</v>
      </c>
      <c r="H45" s="432">
        <v>2020</v>
      </c>
    </row>
    <row r="46" spans="1:8">
      <c r="A46" s="414">
        <v>43709</v>
      </c>
      <c r="B46">
        <v>6</v>
      </c>
      <c r="C46" s="418">
        <v>0</v>
      </c>
      <c r="D46" s="418">
        <v>0</v>
      </c>
      <c r="E46" s="418">
        <v>0</v>
      </c>
      <c r="F46" s="418">
        <v>0</v>
      </c>
      <c r="G46" s="418">
        <v>0</v>
      </c>
      <c r="H46" s="432">
        <v>2020</v>
      </c>
    </row>
    <row r="47" spans="1:8">
      <c r="A47" s="414">
        <v>43709</v>
      </c>
      <c r="B47">
        <v>7</v>
      </c>
      <c r="C47" s="418">
        <v>51196.930000000015</v>
      </c>
      <c r="D47" s="418">
        <v>1026.0832300000002</v>
      </c>
      <c r="E47" s="418">
        <v>2549.2333333333331</v>
      </c>
      <c r="F47" s="418">
        <v>0</v>
      </c>
      <c r="G47" s="418">
        <v>4.4000000000000004</v>
      </c>
      <c r="H47" s="432">
        <v>2020</v>
      </c>
    </row>
    <row r="48" spans="1:8">
      <c r="A48" s="414">
        <v>43709</v>
      </c>
      <c r="B48">
        <v>8</v>
      </c>
      <c r="C48" s="418">
        <v>45374.310999999987</v>
      </c>
      <c r="D48" s="418">
        <v>345.19994000000003</v>
      </c>
      <c r="E48" s="418">
        <v>389.88333333333333</v>
      </c>
      <c r="F48" s="418">
        <v>0</v>
      </c>
      <c r="G48" s="418">
        <v>0</v>
      </c>
      <c r="H48" s="432">
        <v>2020</v>
      </c>
    </row>
    <row r="49" spans="1:8">
      <c r="A49" s="414">
        <v>43709</v>
      </c>
      <c r="B49">
        <v>9</v>
      </c>
      <c r="C49" s="418">
        <v>55637.380000000005</v>
      </c>
      <c r="D49" s="418">
        <v>384.71654000000001</v>
      </c>
      <c r="E49" s="418">
        <v>748.13333333333344</v>
      </c>
      <c r="F49" s="418">
        <v>31.183299999999999</v>
      </c>
      <c r="G49" s="418">
        <v>63.349969999999999</v>
      </c>
      <c r="H49" s="432">
        <v>2020</v>
      </c>
    </row>
    <row r="50" spans="1:8">
      <c r="A50" s="414">
        <v>43709</v>
      </c>
      <c r="B50">
        <v>10</v>
      </c>
      <c r="C50" s="418">
        <v>36835.190999999999</v>
      </c>
      <c r="D50" s="418">
        <v>499.49986699999999</v>
      </c>
      <c r="E50" s="418">
        <v>1071.5833333333333</v>
      </c>
      <c r="F50" s="418">
        <v>20</v>
      </c>
      <c r="G50" s="418">
        <v>52.766629999999999</v>
      </c>
      <c r="H50" s="432">
        <v>2020</v>
      </c>
    </row>
    <row r="51" spans="1:8">
      <c r="A51" s="414">
        <v>43709</v>
      </c>
      <c r="B51">
        <v>13</v>
      </c>
      <c r="C51" s="418">
        <v>41879.100000000006</v>
      </c>
      <c r="D51" s="418">
        <v>571.20014000000003</v>
      </c>
      <c r="E51" s="418">
        <v>1308.2333333333336</v>
      </c>
      <c r="F51" s="418">
        <v>4.6666699999999999</v>
      </c>
      <c r="G51" s="418">
        <v>0</v>
      </c>
      <c r="H51" s="432">
        <v>2020</v>
      </c>
    </row>
    <row r="52" spans="1:8">
      <c r="A52" s="414">
        <v>43709</v>
      </c>
      <c r="B52">
        <v>15</v>
      </c>
      <c r="C52" s="418">
        <v>60292.270000000011</v>
      </c>
      <c r="D52" s="418">
        <v>779.20014000000015</v>
      </c>
      <c r="E52" s="418">
        <v>781.7833333333333</v>
      </c>
      <c r="F52" s="418">
        <v>0</v>
      </c>
      <c r="G52" s="418">
        <v>7.5333300000000003</v>
      </c>
      <c r="H52" s="432">
        <v>2020</v>
      </c>
    </row>
    <row r="53" spans="1:8">
      <c r="A53" s="414">
        <v>43709</v>
      </c>
      <c r="B53">
        <v>18</v>
      </c>
      <c r="C53" s="418">
        <v>61372.85</v>
      </c>
      <c r="D53" s="418">
        <v>869.78365999999994</v>
      </c>
      <c r="E53" s="418">
        <v>1418.7333333333336</v>
      </c>
      <c r="F53" s="418">
        <v>545.06670000000008</v>
      </c>
      <c r="G53" s="418">
        <v>19.75</v>
      </c>
      <c r="H53" s="432">
        <v>2020</v>
      </c>
    </row>
    <row r="54" spans="1:8">
      <c r="A54" s="414">
        <v>43709</v>
      </c>
      <c r="B54">
        <v>95</v>
      </c>
      <c r="C54" s="418">
        <v>9164</v>
      </c>
      <c r="D54" s="418"/>
      <c r="E54" s="418">
        <v>10.4</v>
      </c>
      <c r="F54" s="418"/>
      <c r="G54" s="418"/>
      <c r="H54" s="432">
        <v>2020</v>
      </c>
    </row>
    <row r="55" spans="1:8">
      <c r="A55" s="414">
        <v>43709</v>
      </c>
      <c r="B55">
        <v>97</v>
      </c>
      <c r="C55" s="418">
        <v>16604</v>
      </c>
      <c r="D55" s="418"/>
      <c r="E55" s="418">
        <v>79.8</v>
      </c>
      <c r="F55" s="418"/>
      <c r="G55" s="418"/>
      <c r="H55" s="432">
        <v>2020</v>
      </c>
    </row>
    <row r="56" spans="1:8">
      <c r="A56" s="414">
        <v>43709</v>
      </c>
      <c r="B56">
        <v>98</v>
      </c>
      <c r="C56" s="418">
        <v>13363.4</v>
      </c>
      <c r="D56" s="418"/>
      <c r="E56" s="418">
        <v>28.8</v>
      </c>
      <c r="F56" s="418"/>
      <c r="G56" s="418"/>
      <c r="H56" s="432">
        <v>2020</v>
      </c>
    </row>
    <row r="57" spans="1:8">
      <c r="A57" s="414">
        <v>43709</v>
      </c>
      <c r="B57">
        <v>801</v>
      </c>
      <c r="C57" s="418">
        <v>9413.5700000000015</v>
      </c>
      <c r="D57" s="418">
        <v>0</v>
      </c>
      <c r="E57" s="418">
        <v>5.8000000000000007</v>
      </c>
      <c r="F57" s="418"/>
      <c r="G57" s="418"/>
      <c r="H57" s="432">
        <v>2020</v>
      </c>
    </row>
    <row r="58" spans="1:8">
      <c r="A58" s="414">
        <v>43709</v>
      </c>
      <c r="B58">
        <v>802</v>
      </c>
      <c r="C58" s="418">
        <v>26464.459999999995</v>
      </c>
      <c r="D58" s="418">
        <v>0</v>
      </c>
      <c r="E58" s="418">
        <v>53.331584367234932</v>
      </c>
      <c r="F58" s="418"/>
      <c r="G58" s="418"/>
      <c r="H58" s="432">
        <v>2020</v>
      </c>
    </row>
    <row r="59" spans="1:8">
      <c r="A59" s="414">
        <v>43709</v>
      </c>
      <c r="B59">
        <v>803</v>
      </c>
      <c r="C59" s="418">
        <v>8928.5499999999993</v>
      </c>
      <c r="D59" s="418">
        <v>0</v>
      </c>
      <c r="E59" s="418">
        <v>11.005653543779937</v>
      </c>
      <c r="F59" s="418"/>
      <c r="G59" s="418"/>
      <c r="H59" s="432">
        <v>2020</v>
      </c>
    </row>
    <row r="60" spans="1:8">
      <c r="A60" s="414">
        <v>43709</v>
      </c>
      <c r="B60">
        <v>804</v>
      </c>
      <c r="C60" s="418">
        <v>23193.85</v>
      </c>
      <c r="D60" s="418">
        <v>0</v>
      </c>
      <c r="E60" s="418">
        <v>118.88486227721329</v>
      </c>
      <c r="F60" s="418"/>
      <c r="G60" s="418"/>
      <c r="H60" s="432">
        <v>2020</v>
      </c>
    </row>
    <row r="61" spans="1:8">
      <c r="A61" s="414">
        <v>43709</v>
      </c>
      <c r="B61">
        <v>806</v>
      </c>
      <c r="C61" s="418">
        <v>18449.089999999997</v>
      </c>
      <c r="D61" s="418">
        <v>2.35</v>
      </c>
      <c r="E61" s="418">
        <v>26.854887882798927</v>
      </c>
      <c r="F61" s="418"/>
      <c r="G61" s="418"/>
      <c r="H61" s="432">
        <v>2020</v>
      </c>
    </row>
    <row r="62" spans="1:8">
      <c r="A62" s="414">
        <v>43739</v>
      </c>
      <c r="B62">
        <v>1</v>
      </c>
      <c r="C62" s="418">
        <v>49265.130000000005</v>
      </c>
      <c r="D62" s="418">
        <v>572.20013000000006</v>
      </c>
      <c r="E62" s="418">
        <v>1392.1168</v>
      </c>
      <c r="F62" s="418">
        <v>25.55</v>
      </c>
      <c r="G62" s="418">
        <v>23.116700000000002</v>
      </c>
      <c r="H62" s="432">
        <v>2020</v>
      </c>
    </row>
    <row r="63" spans="1:8">
      <c r="A63" s="414">
        <v>43739</v>
      </c>
      <c r="B63">
        <v>2</v>
      </c>
      <c r="C63" s="418">
        <v>45023.359999999993</v>
      </c>
      <c r="D63" s="418">
        <v>964.41653000000019</v>
      </c>
      <c r="E63" s="418">
        <v>1070.41653</v>
      </c>
      <c r="F63" s="418">
        <v>20.5</v>
      </c>
      <c r="G63" s="418">
        <v>0</v>
      </c>
      <c r="H63" s="432">
        <v>2020</v>
      </c>
    </row>
    <row r="64" spans="1:8">
      <c r="A64" s="414">
        <v>43739</v>
      </c>
      <c r="B64">
        <v>3</v>
      </c>
      <c r="C64" s="418">
        <v>46484.423000000003</v>
      </c>
      <c r="D64" s="418">
        <v>549.55007000000001</v>
      </c>
      <c r="E64" s="418">
        <v>1075.0501000000002</v>
      </c>
      <c r="F64" s="418">
        <v>20.666699999999999</v>
      </c>
      <c r="G64" s="418">
        <v>0</v>
      </c>
      <c r="H64" s="432">
        <v>2020</v>
      </c>
    </row>
    <row r="65" spans="1:8">
      <c r="A65" s="414">
        <v>43739</v>
      </c>
      <c r="B65">
        <v>5</v>
      </c>
      <c r="C65" s="418">
        <v>47600.947</v>
      </c>
      <c r="D65" s="418">
        <v>990.16696999999999</v>
      </c>
      <c r="E65" s="418">
        <v>1037.1164000000001</v>
      </c>
      <c r="F65" s="418">
        <v>123.18340000000001</v>
      </c>
      <c r="G65" s="418">
        <v>0</v>
      </c>
      <c r="H65" s="432">
        <v>2020</v>
      </c>
    </row>
    <row r="66" spans="1:8">
      <c r="A66" s="414">
        <v>43739</v>
      </c>
      <c r="B66">
        <v>6</v>
      </c>
      <c r="C66" s="418">
        <v>0</v>
      </c>
      <c r="D66" s="418">
        <v>0</v>
      </c>
      <c r="E66" s="418">
        <v>0</v>
      </c>
      <c r="F66" s="418">
        <v>0</v>
      </c>
      <c r="G66" s="418">
        <v>0</v>
      </c>
      <c r="H66" s="432">
        <v>2020</v>
      </c>
    </row>
    <row r="67" spans="1:8">
      <c r="A67" s="414">
        <v>43739</v>
      </c>
      <c r="B67">
        <v>7</v>
      </c>
      <c r="C67" s="418">
        <v>53713.770000000011</v>
      </c>
      <c r="D67" s="418">
        <v>1084.9668999999999</v>
      </c>
      <c r="E67" s="418">
        <v>2877.9348</v>
      </c>
      <c r="F67" s="418">
        <v>0</v>
      </c>
      <c r="G67" s="418">
        <v>0</v>
      </c>
      <c r="H67" s="432">
        <v>2020</v>
      </c>
    </row>
    <row r="68" spans="1:8">
      <c r="A68" s="414">
        <v>43739</v>
      </c>
      <c r="B68">
        <v>8</v>
      </c>
      <c r="C68" s="418">
        <v>48459.946000000011</v>
      </c>
      <c r="D68" s="418">
        <v>415.23346999999995</v>
      </c>
      <c r="E68" s="418">
        <v>687.93366999999989</v>
      </c>
      <c r="F68" s="418">
        <v>0</v>
      </c>
      <c r="G68" s="418">
        <v>0</v>
      </c>
      <c r="H68" s="432">
        <v>2020</v>
      </c>
    </row>
    <row r="69" spans="1:8">
      <c r="A69" s="414">
        <v>43739</v>
      </c>
      <c r="B69">
        <v>9</v>
      </c>
      <c r="C69" s="418">
        <v>60217.77</v>
      </c>
      <c r="D69" s="418">
        <v>353.39980000000008</v>
      </c>
      <c r="E69" s="418">
        <v>693.56666299999995</v>
      </c>
      <c r="F69" s="418">
        <v>0</v>
      </c>
      <c r="G69" s="418">
        <v>24.83333</v>
      </c>
      <c r="H69" s="432">
        <v>2020</v>
      </c>
    </row>
    <row r="70" spans="1:8">
      <c r="A70" s="414">
        <v>43739</v>
      </c>
      <c r="B70">
        <v>10</v>
      </c>
      <c r="C70" s="418">
        <v>40135.970000000016</v>
      </c>
      <c r="D70" s="418">
        <v>518.46668</v>
      </c>
      <c r="E70" s="418">
        <v>1307.4004</v>
      </c>
      <c r="F70" s="418">
        <v>0</v>
      </c>
      <c r="G70" s="418">
        <v>16.66667</v>
      </c>
      <c r="H70" s="432">
        <v>2020</v>
      </c>
    </row>
    <row r="71" spans="1:8">
      <c r="A71" s="414">
        <v>43739</v>
      </c>
      <c r="B71">
        <v>13</v>
      </c>
      <c r="C71" s="418">
        <v>44312.06</v>
      </c>
      <c r="D71" s="418">
        <v>701.46659999999997</v>
      </c>
      <c r="E71" s="418">
        <v>1228.9997000000003</v>
      </c>
      <c r="F71" s="418">
        <v>24.066659999999999</v>
      </c>
      <c r="G71" s="418">
        <v>5.4166699999999999</v>
      </c>
      <c r="H71" s="432">
        <v>2020</v>
      </c>
    </row>
    <row r="72" spans="1:8">
      <c r="A72" s="414">
        <v>43739</v>
      </c>
      <c r="B72">
        <v>15</v>
      </c>
      <c r="C72" s="418">
        <v>64368.039999999994</v>
      </c>
      <c r="D72" s="418">
        <v>1117.8169</v>
      </c>
      <c r="E72" s="418">
        <v>1454.48343</v>
      </c>
      <c r="F72" s="418">
        <v>0</v>
      </c>
      <c r="G72" s="418">
        <v>13.91667</v>
      </c>
      <c r="H72" s="432">
        <v>2020</v>
      </c>
    </row>
    <row r="73" spans="1:8">
      <c r="A73" s="414">
        <v>43739</v>
      </c>
      <c r="B73">
        <v>18</v>
      </c>
      <c r="C73" s="418">
        <v>64853.660000000011</v>
      </c>
      <c r="D73" s="418">
        <v>915.96676000000025</v>
      </c>
      <c r="E73" s="418">
        <v>1442.9163999999996</v>
      </c>
      <c r="F73" s="418">
        <v>115.2667</v>
      </c>
      <c r="G73" s="418">
        <v>13.51667</v>
      </c>
      <c r="H73" s="432">
        <v>2020</v>
      </c>
    </row>
    <row r="74" spans="1:8">
      <c r="A74" s="414">
        <v>43739</v>
      </c>
      <c r="B74">
        <v>95</v>
      </c>
      <c r="C74" s="418">
        <v>9958.9</v>
      </c>
      <c r="D74" s="418"/>
      <c r="E74" s="418">
        <v>14.3</v>
      </c>
      <c r="F74" s="418"/>
      <c r="G74" s="418"/>
      <c r="H74" s="432">
        <v>2020</v>
      </c>
    </row>
    <row r="75" spans="1:8">
      <c r="A75" s="414">
        <v>43739</v>
      </c>
      <c r="B75">
        <v>97</v>
      </c>
      <c r="C75" s="418">
        <v>17941.2</v>
      </c>
      <c r="D75" s="418"/>
      <c r="E75" s="418">
        <v>96.9</v>
      </c>
      <c r="F75" s="418"/>
      <c r="G75" s="418"/>
      <c r="H75" s="432">
        <v>2020</v>
      </c>
    </row>
    <row r="76" spans="1:8">
      <c r="A76" s="414">
        <v>43739</v>
      </c>
      <c r="B76">
        <v>98</v>
      </c>
      <c r="C76" s="418">
        <v>14235.4</v>
      </c>
      <c r="D76" s="418"/>
      <c r="E76" s="418">
        <v>40.299999999999997</v>
      </c>
      <c r="F76" s="418"/>
      <c r="G76" s="418"/>
      <c r="H76" s="432">
        <v>2020</v>
      </c>
    </row>
    <row r="77" spans="1:8">
      <c r="A77" s="414">
        <v>43739</v>
      </c>
      <c r="B77">
        <v>801</v>
      </c>
      <c r="C77" s="418">
        <v>10198.809999999996</v>
      </c>
      <c r="D77" s="418">
        <v>0</v>
      </c>
      <c r="E77" s="418">
        <v>10.633333333333335</v>
      </c>
      <c r="F77" s="418"/>
      <c r="G77" s="418"/>
      <c r="H77" s="432">
        <v>2020</v>
      </c>
    </row>
    <row r="78" spans="1:8">
      <c r="A78" s="414">
        <v>43739</v>
      </c>
      <c r="B78">
        <v>802</v>
      </c>
      <c r="C78" s="418">
        <v>27212.069999999992</v>
      </c>
      <c r="D78" s="418">
        <v>0</v>
      </c>
      <c r="E78" s="418">
        <v>54.222537280791826</v>
      </c>
      <c r="F78" s="418"/>
      <c r="G78" s="418"/>
      <c r="H78" s="432">
        <v>2020</v>
      </c>
    </row>
    <row r="79" spans="1:8">
      <c r="A79" s="414">
        <v>43739</v>
      </c>
      <c r="B79">
        <v>803</v>
      </c>
      <c r="C79" s="418">
        <v>9827.8999999999978</v>
      </c>
      <c r="D79" s="418">
        <v>0</v>
      </c>
      <c r="E79" s="418">
        <v>14.292234712358447</v>
      </c>
      <c r="F79" s="418"/>
      <c r="G79" s="418"/>
      <c r="H79" s="432">
        <v>2020</v>
      </c>
    </row>
    <row r="80" spans="1:8">
      <c r="A80" s="414">
        <v>43739</v>
      </c>
      <c r="B80">
        <v>804</v>
      </c>
      <c r="C80" s="418">
        <v>24931.47</v>
      </c>
      <c r="D80" s="418">
        <v>0</v>
      </c>
      <c r="E80" s="418">
        <v>98.082685651999569</v>
      </c>
      <c r="F80" s="418"/>
      <c r="G80" s="418"/>
      <c r="H80" s="432">
        <v>2020</v>
      </c>
    </row>
    <row r="81" spans="1:8">
      <c r="A81" s="414">
        <v>43739</v>
      </c>
      <c r="B81">
        <v>806</v>
      </c>
      <c r="C81" s="418">
        <v>19225.689999999999</v>
      </c>
      <c r="D81" s="418">
        <v>0</v>
      </c>
      <c r="E81" s="418">
        <v>86.698103960488183</v>
      </c>
      <c r="F81" s="418"/>
      <c r="G81" s="418"/>
      <c r="H81" s="432">
        <v>2020</v>
      </c>
    </row>
    <row r="82" spans="1:8">
      <c r="A82" s="414">
        <v>43770</v>
      </c>
      <c r="B82">
        <v>1</v>
      </c>
      <c r="C82" s="418"/>
      <c r="D82" s="418"/>
      <c r="E82" s="418"/>
      <c r="F82" s="418"/>
      <c r="G82" s="418"/>
      <c r="H82" s="432">
        <v>2020</v>
      </c>
    </row>
    <row r="83" spans="1:8">
      <c r="A83" s="414">
        <v>43770</v>
      </c>
      <c r="B83">
        <v>2</v>
      </c>
      <c r="C83" s="418"/>
      <c r="D83" s="418"/>
      <c r="E83" s="418"/>
      <c r="F83" s="418"/>
      <c r="G83" s="418"/>
      <c r="H83" s="432">
        <v>2020</v>
      </c>
    </row>
    <row r="84" spans="1:8">
      <c r="A84" s="414">
        <v>43770</v>
      </c>
      <c r="B84">
        <v>3</v>
      </c>
      <c r="C84" s="418"/>
      <c r="D84" s="418"/>
      <c r="E84" s="418"/>
      <c r="F84" s="418"/>
      <c r="G84" s="418"/>
      <c r="H84" s="432">
        <v>2020</v>
      </c>
    </row>
    <row r="85" spans="1:8">
      <c r="A85" s="414">
        <v>43770</v>
      </c>
      <c r="B85">
        <v>5</v>
      </c>
      <c r="C85" s="418"/>
      <c r="D85" s="418"/>
      <c r="E85" s="418"/>
      <c r="F85" s="418"/>
      <c r="G85" s="418"/>
      <c r="H85" s="432">
        <v>2020</v>
      </c>
    </row>
    <row r="86" spans="1:8">
      <c r="A86" s="414">
        <v>43770</v>
      </c>
      <c r="B86">
        <v>6</v>
      </c>
      <c r="C86" s="418"/>
      <c r="D86" s="418"/>
      <c r="E86" s="418"/>
      <c r="F86" s="418"/>
      <c r="G86" s="418"/>
      <c r="H86" s="432">
        <v>2020</v>
      </c>
    </row>
    <row r="87" spans="1:8">
      <c r="A87" s="414">
        <v>43770</v>
      </c>
      <c r="B87">
        <v>7</v>
      </c>
      <c r="C87" s="418"/>
      <c r="D87" s="418"/>
      <c r="E87" s="418"/>
      <c r="F87" s="418"/>
      <c r="G87" s="418"/>
      <c r="H87" s="432">
        <v>2020</v>
      </c>
    </row>
    <row r="88" spans="1:8">
      <c r="A88" s="414">
        <v>43770</v>
      </c>
      <c r="B88">
        <v>8</v>
      </c>
      <c r="C88" s="418"/>
      <c r="D88" s="418"/>
      <c r="E88" s="418"/>
      <c r="F88" s="418"/>
      <c r="G88" s="418"/>
      <c r="H88" s="432">
        <v>2020</v>
      </c>
    </row>
    <row r="89" spans="1:8">
      <c r="A89" s="414">
        <v>43770</v>
      </c>
      <c r="B89">
        <v>9</v>
      </c>
      <c r="C89" s="418"/>
      <c r="D89" s="418"/>
      <c r="E89" s="418"/>
      <c r="F89" s="418"/>
      <c r="G89" s="418"/>
      <c r="H89" s="432">
        <v>2020</v>
      </c>
    </row>
    <row r="90" spans="1:8">
      <c r="A90" s="414">
        <v>43770</v>
      </c>
      <c r="B90">
        <v>10</v>
      </c>
      <c r="C90" s="418"/>
      <c r="D90" s="418"/>
      <c r="E90" s="418"/>
      <c r="F90" s="418"/>
      <c r="G90" s="418"/>
      <c r="H90" s="432">
        <v>2020</v>
      </c>
    </row>
    <row r="91" spans="1:8">
      <c r="A91" s="414">
        <v>43770</v>
      </c>
      <c r="B91">
        <v>13</v>
      </c>
      <c r="C91" s="418"/>
      <c r="D91" s="418"/>
      <c r="E91" s="418"/>
      <c r="F91" s="418"/>
      <c r="G91" s="418"/>
      <c r="H91" s="432">
        <v>2020</v>
      </c>
    </row>
    <row r="92" spans="1:8">
      <c r="A92" s="414">
        <v>43770</v>
      </c>
      <c r="B92">
        <v>15</v>
      </c>
      <c r="C92" s="418"/>
      <c r="D92" s="418"/>
      <c r="E92" s="418"/>
      <c r="F92" s="418"/>
      <c r="G92" s="418"/>
      <c r="H92" s="432">
        <v>2020</v>
      </c>
    </row>
    <row r="93" spans="1:8">
      <c r="A93" s="414">
        <v>43770</v>
      </c>
      <c r="B93">
        <v>18</v>
      </c>
      <c r="C93" s="418"/>
      <c r="D93" s="418"/>
      <c r="E93" s="418"/>
      <c r="F93" s="418"/>
      <c r="G93" s="418"/>
      <c r="H93" s="432">
        <v>2020</v>
      </c>
    </row>
    <row r="94" spans="1:8">
      <c r="A94" s="414">
        <v>43770</v>
      </c>
      <c r="B94">
        <v>95</v>
      </c>
      <c r="C94" s="418"/>
      <c r="D94" s="418"/>
      <c r="E94" s="418"/>
      <c r="F94" s="418"/>
      <c r="G94" s="418"/>
      <c r="H94" s="432">
        <v>2020</v>
      </c>
    </row>
    <row r="95" spans="1:8">
      <c r="A95" s="414">
        <v>43770</v>
      </c>
      <c r="B95">
        <v>97</v>
      </c>
      <c r="C95" s="418"/>
      <c r="D95" s="418"/>
      <c r="E95" s="418"/>
      <c r="F95" s="418"/>
      <c r="G95" s="418"/>
      <c r="H95" s="432">
        <v>2020</v>
      </c>
    </row>
    <row r="96" spans="1:8">
      <c r="A96" s="414">
        <v>43770</v>
      </c>
      <c r="B96">
        <v>98</v>
      </c>
      <c r="C96" s="418"/>
      <c r="D96" s="418"/>
      <c r="E96" s="418"/>
      <c r="F96" s="418"/>
      <c r="G96" s="418"/>
      <c r="H96" s="432">
        <v>2020</v>
      </c>
    </row>
    <row r="97" spans="1:8">
      <c r="A97" s="414">
        <v>43770</v>
      </c>
      <c r="B97">
        <v>801</v>
      </c>
      <c r="C97" s="418"/>
      <c r="D97" s="418"/>
      <c r="E97" s="418"/>
      <c r="F97" s="418"/>
      <c r="G97" s="418"/>
      <c r="H97" s="432">
        <v>2020</v>
      </c>
    </row>
    <row r="98" spans="1:8">
      <c r="A98" s="414">
        <v>43770</v>
      </c>
      <c r="B98">
        <v>802</v>
      </c>
      <c r="C98" s="418"/>
      <c r="D98" s="418"/>
      <c r="E98" s="418"/>
      <c r="F98" s="418"/>
      <c r="G98" s="418"/>
      <c r="H98" s="432">
        <v>2020</v>
      </c>
    </row>
    <row r="99" spans="1:8">
      <c r="A99" s="414">
        <v>43770</v>
      </c>
      <c r="B99">
        <v>803</v>
      </c>
      <c r="C99" s="418"/>
      <c r="D99" s="418"/>
      <c r="E99" s="418"/>
      <c r="F99" s="418"/>
      <c r="G99" s="418"/>
      <c r="H99" s="432">
        <v>2020</v>
      </c>
    </row>
    <row r="100" spans="1:8">
      <c r="A100" s="414">
        <v>43770</v>
      </c>
      <c r="B100">
        <v>804</v>
      </c>
      <c r="C100" s="418"/>
      <c r="D100" s="418"/>
      <c r="E100" s="418"/>
      <c r="F100" s="418"/>
      <c r="G100" s="418"/>
      <c r="H100" s="432">
        <v>2020</v>
      </c>
    </row>
    <row r="101" spans="1:8">
      <c r="A101" s="414">
        <v>43770</v>
      </c>
      <c r="B101">
        <v>806</v>
      </c>
      <c r="C101" s="418"/>
      <c r="D101" s="418"/>
      <c r="E101" s="418"/>
      <c r="F101" s="418"/>
      <c r="G101" s="418"/>
      <c r="H101" s="432">
        <v>2020</v>
      </c>
    </row>
    <row r="102" spans="1:8">
      <c r="A102" s="414">
        <v>43800</v>
      </c>
      <c r="B102">
        <v>1</v>
      </c>
      <c r="C102" s="418"/>
      <c r="D102" s="418"/>
      <c r="E102" s="418"/>
      <c r="F102" s="418"/>
      <c r="G102" s="418"/>
      <c r="H102" s="432">
        <v>2020</v>
      </c>
    </row>
    <row r="103" spans="1:8">
      <c r="A103" s="414">
        <v>43800</v>
      </c>
      <c r="B103">
        <v>2</v>
      </c>
      <c r="C103" s="418"/>
      <c r="D103" s="418"/>
      <c r="E103" s="418"/>
      <c r="F103" s="418"/>
      <c r="G103" s="418"/>
      <c r="H103" s="432">
        <v>2020</v>
      </c>
    </row>
    <row r="104" spans="1:8">
      <c r="A104" s="414">
        <v>43800</v>
      </c>
      <c r="B104">
        <v>3</v>
      </c>
      <c r="C104" s="418"/>
      <c r="D104" s="418"/>
      <c r="E104" s="418"/>
      <c r="F104" s="418"/>
      <c r="G104" s="418"/>
      <c r="H104" s="432">
        <v>2020</v>
      </c>
    </row>
    <row r="105" spans="1:8">
      <c r="A105" s="414">
        <v>43800</v>
      </c>
      <c r="B105">
        <v>5</v>
      </c>
      <c r="C105" s="418"/>
      <c r="D105" s="418"/>
      <c r="E105" s="418"/>
      <c r="F105" s="418"/>
      <c r="G105" s="418"/>
      <c r="H105" s="432">
        <v>2020</v>
      </c>
    </row>
    <row r="106" spans="1:8">
      <c r="A106" s="414">
        <v>43800</v>
      </c>
      <c r="B106">
        <v>6</v>
      </c>
      <c r="C106" s="418"/>
      <c r="D106" s="418"/>
      <c r="E106" s="418"/>
      <c r="F106" s="418"/>
      <c r="G106" s="418"/>
      <c r="H106" s="432">
        <v>2020</v>
      </c>
    </row>
    <row r="107" spans="1:8">
      <c r="A107" s="414">
        <v>43800</v>
      </c>
      <c r="B107">
        <v>7</v>
      </c>
      <c r="C107" s="418"/>
      <c r="D107" s="418"/>
      <c r="E107" s="418"/>
      <c r="F107" s="418"/>
      <c r="G107" s="418"/>
      <c r="H107" s="432">
        <v>2020</v>
      </c>
    </row>
    <row r="108" spans="1:8">
      <c r="A108" s="414">
        <v>43800</v>
      </c>
      <c r="B108">
        <v>8</v>
      </c>
      <c r="C108" s="418"/>
      <c r="D108" s="418"/>
      <c r="E108" s="418"/>
      <c r="F108" s="418"/>
      <c r="G108" s="418"/>
      <c r="H108" s="432">
        <v>2020</v>
      </c>
    </row>
    <row r="109" spans="1:8">
      <c r="A109" s="414">
        <v>43800</v>
      </c>
      <c r="B109">
        <v>9</v>
      </c>
      <c r="C109" s="418"/>
      <c r="D109" s="418"/>
      <c r="E109" s="418"/>
      <c r="F109" s="418"/>
      <c r="G109" s="418"/>
      <c r="H109" s="432">
        <v>2020</v>
      </c>
    </row>
    <row r="110" spans="1:8">
      <c r="A110" s="414">
        <v>43800</v>
      </c>
      <c r="B110">
        <v>10</v>
      </c>
      <c r="C110" s="418"/>
      <c r="D110" s="418"/>
      <c r="E110" s="418"/>
      <c r="F110" s="418"/>
      <c r="G110" s="418"/>
      <c r="H110" s="432">
        <v>2020</v>
      </c>
    </row>
    <row r="111" spans="1:8">
      <c r="A111" s="414">
        <v>43800</v>
      </c>
      <c r="B111">
        <v>13</v>
      </c>
      <c r="C111" s="418"/>
      <c r="D111" s="418"/>
      <c r="E111" s="418"/>
      <c r="F111" s="418"/>
      <c r="G111" s="418"/>
      <c r="H111" s="432">
        <v>2020</v>
      </c>
    </row>
    <row r="112" spans="1:8">
      <c r="A112" s="414">
        <v>43800</v>
      </c>
      <c r="B112">
        <v>15</v>
      </c>
      <c r="C112" s="418"/>
      <c r="D112" s="418"/>
      <c r="E112" s="418"/>
      <c r="F112" s="418"/>
      <c r="G112" s="418"/>
      <c r="H112" s="432">
        <v>2020</v>
      </c>
    </row>
    <row r="113" spans="1:8">
      <c r="A113" s="414">
        <v>43800</v>
      </c>
      <c r="B113">
        <v>18</v>
      </c>
      <c r="C113" s="418"/>
      <c r="D113" s="418"/>
      <c r="E113" s="418"/>
      <c r="F113" s="418"/>
      <c r="G113" s="418"/>
      <c r="H113" s="432">
        <v>2020</v>
      </c>
    </row>
    <row r="114" spans="1:8">
      <c r="A114" s="414">
        <v>43800</v>
      </c>
      <c r="B114">
        <v>95</v>
      </c>
      <c r="C114" s="418"/>
      <c r="D114" s="418"/>
      <c r="E114" s="418"/>
      <c r="F114" s="418"/>
      <c r="G114" s="418"/>
      <c r="H114" s="432">
        <v>2020</v>
      </c>
    </row>
    <row r="115" spans="1:8">
      <c r="A115" s="414">
        <v>43800</v>
      </c>
      <c r="B115">
        <v>97</v>
      </c>
      <c r="C115" s="418"/>
      <c r="D115" s="418"/>
      <c r="E115" s="418"/>
      <c r="F115" s="418"/>
      <c r="G115" s="418"/>
      <c r="H115" s="432">
        <v>2020</v>
      </c>
    </row>
    <row r="116" spans="1:8">
      <c r="A116" s="414">
        <v>43800</v>
      </c>
      <c r="B116">
        <v>98</v>
      </c>
      <c r="C116" s="418"/>
      <c r="D116" s="418"/>
      <c r="E116" s="418"/>
      <c r="F116" s="418"/>
      <c r="G116" s="418"/>
      <c r="H116" s="432">
        <v>2020</v>
      </c>
    </row>
    <row r="117" spans="1:8">
      <c r="A117" s="414">
        <v>43800</v>
      </c>
      <c r="B117">
        <v>801</v>
      </c>
      <c r="C117" s="418"/>
      <c r="D117" s="418"/>
      <c r="E117" s="418"/>
      <c r="F117" s="418"/>
      <c r="G117" s="418"/>
      <c r="H117" s="432">
        <v>2020</v>
      </c>
    </row>
    <row r="118" spans="1:8">
      <c r="A118" s="414">
        <v>43800</v>
      </c>
      <c r="B118">
        <v>802</v>
      </c>
      <c r="C118" s="418"/>
      <c r="D118" s="418"/>
      <c r="E118" s="418"/>
      <c r="F118" s="418"/>
      <c r="G118" s="418"/>
      <c r="H118" s="432">
        <v>2020</v>
      </c>
    </row>
    <row r="119" spans="1:8">
      <c r="A119" s="414">
        <v>43800</v>
      </c>
      <c r="B119">
        <v>803</v>
      </c>
      <c r="C119" s="418"/>
      <c r="D119" s="418"/>
      <c r="E119" s="418"/>
      <c r="F119" s="418"/>
      <c r="G119" s="418"/>
      <c r="H119" s="432">
        <v>2020</v>
      </c>
    </row>
    <row r="120" spans="1:8">
      <c r="A120" s="414">
        <v>43800</v>
      </c>
      <c r="B120">
        <v>804</v>
      </c>
      <c r="C120" s="418"/>
      <c r="D120" s="418"/>
      <c r="E120" s="418"/>
      <c r="F120" s="418"/>
      <c r="G120" s="418"/>
      <c r="H120" s="432">
        <v>2020</v>
      </c>
    </row>
    <row r="121" spans="1:8">
      <c r="A121" s="414">
        <v>43800</v>
      </c>
      <c r="B121">
        <v>806</v>
      </c>
      <c r="C121" s="418"/>
      <c r="D121" s="418"/>
      <c r="E121" s="418"/>
      <c r="F121" s="418"/>
      <c r="G121" s="418"/>
      <c r="H121" s="432">
        <v>2020</v>
      </c>
    </row>
    <row r="122" spans="1:8">
      <c r="A122" s="414">
        <v>43831</v>
      </c>
      <c r="B122">
        <v>1</v>
      </c>
      <c r="C122" s="418"/>
      <c r="D122" s="418"/>
      <c r="E122" s="418"/>
      <c r="F122" s="418"/>
      <c r="G122" s="418"/>
      <c r="H122" s="432">
        <v>2020</v>
      </c>
    </row>
    <row r="123" spans="1:8">
      <c r="A123" s="414">
        <v>43831</v>
      </c>
      <c r="B123">
        <v>2</v>
      </c>
      <c r="C123" s="418"/>
      <c r="D123" s="418"/>
      <c r="E123" s="418"/>
      <c r="F123" s="418"/>
      <c r="G123" s="418"/>
      <c r="H123" s="432">
        <v>2020</v>
      </c>
    </row>
    <row r="124" spans="1:8">
      <c r="A124" s="414">
        <v>43831</v>
      </c>
      <c r="B124">
        <v>3</v>
      </c>
      <c r="C124" s="418"/>
      <c r="D124" s="418"/>
      <c r="E124" s="418"/>
      <c r="F124" s="418"/>
      <c r="G124" s="418"/>
      <c r="H124" s="432">
        <v>2020</v>
      </c>
    </row>
    <row r="125" spans="1:8">
      <c r="A125" s="414">
        <v>43831</v>
      </c>
      <c r="B125">
        <v>5</v>
      </c>
      <c r="C125" s="418"/>
      <c r="D125" s="418"/>
      <c r="E125" s="418"/>
      <c r="F125" s="418"/>
      <c r="G125" s="418"/>
      <c r="H125" s="432">
        <v>2020</v>
      </c>
    </row>
    <row r="126" spans="1:8">
      <c r="A126" s="414">
        <v>43831</v>
      </c>
      <c r="B126">
        <v>6</v>
      </c>
      <c r="C126" s="418"/>
      <c r="D126" s="418"/>
      <c r="E126" s="418"/>
      <c r="F126" s="418"/>
      <c r="G126" s="418"/>
      <c r="H126" s="432">
        <v>2020</v>
      </c>
    </row>
    <row r="127" spans="1:8">
      <c r="A127" s="414">
        <v>43831</v>
      </c>
      <c r="B127">
        <v>7</v>
      </c>
      <c r="C127" s="418"/>
      <c r="D127" s="418"/>
      <c r="E127" s="418"/>
      <c r="F127" s="418"/>
      <c r="G127" s="418"/>
      <c r="H127" s="432">
        <v>2020</v>
      </c>
    </row>
    <row r="128" spans="1:8">
      <c r="A128" s="414">
        <v>43831</v>
      </c>
      <c r="B128">
        <v>8</v>
      </c>
      <c r="C128" s="418"/>
      <c r="D128" s="418"/>
      <c r="E128" s="418"/>
      <c r="F128" s="418"/>
      <c r="G128" s="418"/>
      <c r="H128" s="432">
        <v>2020</v>
      </c>
    </row>
    <row r="129" spans="1:8">
      <c r="A129" s="414">
        <v>43831</v>
      </c>
      <c r="B129">
        <v>9</v>
      </c>
      <c r="C129" s="418"/>
      <c r="D129" s="418"/>
      <c r="E129" s="418"/>
      <c r="F129" s="418"/>
      <c r="G129" s="418"/>
      <c r="H129" s="432">
        <v>2020</v>
      </c>
    </row>
    <row r="130" spans="1:8">
      <c r="A130" s="414">
        <v>43831</v>
      </c>
      <c r="B130">
        <v>10</v>
      </c>
      <c r="C130" s="418"/>
      <c r="D130" s="418"/>
      <c r="E130" s="418"/>
      <c r="F130" s="418"/>
      <c r="G130" s="418"/>
      <c r="H130" s="432">
        <v>2020</v>
      </c>
    </row>
    <row r="131" spans="1:8">
      <c r="A131" s="414">
        <v>43831</v>
      </c>
      <c r="B131">
        <v>13</v>
      </c>
      <c r="C131" s="418"/>
      <c r="D131" s="418"/>
      <c r="E131" s="418"/>
      <c r="F131" s="418"/>
      <c r="G131" s="418"/>
      <c r="H131" s="432">
        <v>2020</v>
      </c>
    </row>
    <row r="132" spans="1:8">
      <c r="A132" s="414">
        <v>43831</v>
      </c>
      <c r="B132">
        <v>15</v>
      </c>
      <c r="C132" s="418"/>
      <c r="D132" s="418"/>
      <c r="E132" s="418"/>
      <c r="F132" s="418"/>
      <c r="G132" s="418"/>
      <c r="H132" s="432">
        <v>2020</v>
      </c>
    </row>
    <row r="133" spans="1:8">
      <c r="A133" s="414">
        <v>43831</v>
      </c>
      <c r="B133">
        <v>18</v>
      </c>
      <c r="C133" s="418"/>
      <c r="D133" s="418"/>
      <c r="E133" s="418"/>
      <c r="F133" s="418"/>
      <c r="G133" s="418"/>
      <c r="H133" s="432">
        <v>2020</v>
      </c>
    </row>
    <row r="134" spans="1:8">
      <c r="A134" s="414">
        <v>43831</v>
      </c>
      <c r="B134">
        <v>95</v>
      </c>
      <c r="C134" s="418"/>
      <c r="D134" s="418"/>
      <c r="E134" s="418"/>
      <c r="F134" s="418"/>
      <c r="G134" s="418"/>
      <c r="H134" s="432">
        <v>2020</v>
      </c>
    </row>
    <row r="135" spans="1:8">
      <c r="A135" s="414">
        <v>43831</v>
      </c>
      <c r="B135">
        <v>97</v>
      </c>
      <c r="C135" s="418"/>
      <c r="D135" s="418"/>
      <c r="E135" s="418"/>
      <c r="F135" s="418"/>
      <c r="G135" s="418"/>
      <c r="H135" s="432">
        <v>2020</v>
      </c>
    </row>
    <row r="136" spans="1:8">
      <c r="A136" s="414">
        <v>43831</v>
      </c>
      <c r="B136">
        <v>98</v>
      </c>
      <c r="C136" s="418"/>
      <c r="D136" s="418"/>
      <c r="E136" s="418"/>
      <c r="F136" s="418"/>
      <c r="G136" s="418"/>
      <c r="H136" s="432">
        <v>2020</v>
      </c>
    </row>
    <row r="137" spans="1:8">
      <c r="A137" s="414">
        <v>43831</v>
      </c>
      <c r="B137">
        <v>801</v>
      </c>
      <c r="C137" s="418"/>
      <c r="D137" s="418"/>
      <c r="E137" s="418"/>
      <c r="F137" s="418"/>
      <c r="G137" s="418"/>
      <c r="H137" s="432">
        <v>2020</v>
      </c>
    </row>
    <row r="138" spans="1:8">
      <c r="A138" s="414">
        <v>43831</v>
      </c>
      <c r="B138">
        <v>802</v>
      </c>
      <c r="C138" s="418"/>
      <c r="D138" s="418"/>
      <c r="E138" s="418"/>
      <c r="F138" s="418"/>
      <c r="G138" s="418"/>
      <c r="H138" s="432">
        <v>2020</v>
      </c>
    </row>
    <row r="139" spans="1:8">
      <c r="A139" s="414">
        <v>43831</v>
      </c>
      <c r="B139">
        <v>803</v>
      </c>
      <c r="C139" s="418"/>
      <c r="D139" s="418"/>
      <c r="E139" s="418"/>
      <c r="F139" s="418"/>
      <c r="G139" s="418"/>
      <c r="H139" s="432">
        <v>2020</v>
      </c>
    </row>
    <row r="140" spans="1:8">
      <c r="A140" s="414">
        <v>43831</v>
      </c>
      <c r="B140">
        <v>804</v>
      </c>
      <c r="C140" s="418"/>
      <c r="D140" s="418"/>
      <c r="E140" s="418"/>
      <c r="F140" s="418"/>
      <c r="G140" s="418"/>
      <c r="H140" s="432">
        <v>2020</v>
      </c>
    </row>
    <row r="141" spans="1:8">
      <c r="A141" s="414">
        <v>43831</v>
      </c>
      <c r="B141">
        <v>806</v>
      </c>
      <c r="C141" s="418"/>
      <c r="D141" s="418"/>
      <c r="E141" s="418"/>
      <c r="F141" s="418"/>
      <c r="G141" s="418"/>
      <c r="H141" s="432">
        <v>2020</v>
      </c>
    </row>
    <row r="142" spans="1:8">
      <c r="A142" s="414">
        <v>43862</v>
      </c>
      <c r="B142">
        <v>1</v>
      </c>
      <c r="C142" s="418"/>
      <c r="D142" s="418"/>
      <c r="E142" s="418"/>
      <c r="F142" s="418"/>
      <c r="G142" s="418"/>
      <c r="H142" s="432">
        <v>2020</v>
      </c>
    </row>
    <row r="143" spans="1:8">
      <c r="A143" s="414">
        <v>43862</v>
      </c>
      <c r="B143">
        <v>2</v>
      </c>
      <c r="C143" s="418"/>
      <c r="D143" s="418"/>
      <c r="E143" s="418"/>
      <c r="F143" s="418"/>
      <c r="G143" s="418"/>
      <c r="H143" s="432">
        <v>2020</v>
      </c>
    </row>
    <row r="144" spans="1:8">
      <c r="A144" s="414">
        <v>43862</v>
      </c>
      <c r="B144">
        <v>3</v>
      </c>
      <c r="C144" s="418"/>
      <c r="D144" s="418"/>
      <c r="E144" s="418"/>
      <c r="F144" s="418"/>
      <c r="G144" s="418"/>
      <c r="H144" s="432">
        <v>2020</v>
      </c>
    </row>
    <row r="145" spans="1:8">
      <c r="A145" s="414">
        <v>43862</v>
      </c>
      <c r="B145">
        <v>5</v>
      </c>
      <c r="C145" s="418"/>
      <c r="D145" s="418"/>
      <c r="E145" s="418"/>
      <c r="F145" s="418"/>
      <c r="G145" s="418"/>
      <c r="H145" s="432">
        <v>2020</v>
      </c>
    </row>
    <row r="146" spans="1:8">
      <c r="A146" s="414">
        <v>43862</v>
      </c>
      <c r="B146">
        <v>6</v>
      </c>
      <c r="C146" s="418"/>
      <c r="D146" s="418"/>
      <c r="E146" s="418"/>
      <c r="F146" s="418"/>
      <c r="G146" s="418"/>
      <c r="H146" s="432">
        <v>2020</v>
      </c>
    </row>
    <row r="147" spans="1:8">
      <c r="A147" s="414">
        <v>43862</v>
      </c>
      <c r="B147">
        <v>7</v>
      </c>
      <c r="C147" s="418"/>
      <c r="D147" s="418"/>
      <c r="E147" s="418"/>
      <c r="F147" s="418"/>
      <c r="G147" s="418"/>
      <c r="H147" s="432">
        <v>2020</v>
      </c>
    </row>
    <row r="148" spans="1:8">
      <c r="A148" s="414">
        <v>43862</v>
      </c>
      <c r="B148">
        <v>8</v>
      </c>
      <c r="C148" s="418"/>
      <c r="D148" s="418"/>
      <c r="E148" s="418"/>
      <c r="F148" s="418"/>
      <c r="G148" s="418"/>
      <c r="H148" s="432">
        <v>2020</v>
      </c>
    </row>
    <row r="149" spans="1:8">
      <c r="A149" s="414">
        <v>43862</v>
      </c>
      <c r="B149">
        <v>9</v>
      </c>
      <c r="C149" s="418"/>
      <c r="D149" s="418"/>
      <c r="E149" s="418"/>
      <c r="F149" s="418"/>
      <c r="G149" s="418"/>
      <c r="H149" s="432">
        <v>2020</v>
      </c>
    </row>
    <row r="150" spans="1:8">
      <c r="A150" s="414">
        <v>43862</v>
      </c>
      <c r="B150">
        <v>10</v>
      </c>
      <c r="C150" s="418"/>
      <c r="D150" s="418"/>
      <c r="E150" s="418"/>
      <c r="F150" s="418"/>
      <c r="G150" s="418"/>
      <c r="H150" s="432">
        <v>2020</v>
      </c>
    </row>
    <row r="151" spans="1:8">
      <c r="A151" s="414">
        <v>43862</v>
      </c>
      <c r="B151">
        <v>13</v>
      </c>
      <c r="C151" s="418"/>
      <c r="D151" s="418"/>
      <c r="E151" s="418"/>
      <c r="F151" s="418"/>
      <c r="G151" s="418"/>
      <c r="H151" s="432">
        <v>2020</v>
      </c>
    </row>
    <row r="152" spans="1:8">
      <c r="A152" s="414">
        <v>43862</v>
      </c>
      <c r="B152">
        <v>15</v>
      </c>
      <c r="C152" s="418"/>
      <c r="D152" s="418"/>
      <c r="E152" s="418"/>
      <c r="F152" s="418"/>
      <c r="G152" s="418"/>
      <c r="H152" s="432">
        <v>2020</v>
      </c>
    </row>
    <row r="153" spans="1:8">
      <c r="A153" s="414">
        <v>43862</v>
      </c>
      <c r="B153">
        <v>18</v>
      </c>
      <c r="C153" s="418"/>
      <c r="D153" s="418"/>
      <c r="E153" s="418"/>
      <c r="F153" s="418"/>
      <c r="G153" s="418"/>
      <c r="H153" s="432">
        <v>2020</v>
      </c>
    </row>
    <row r="154" spans="1:8">
      <c r="A154" s="414">
        <v>43862</v>
      </c>
      <c r="B154">
        <v>95</v>
      </c>
      <c r="C154" s="418"/>
      <c r="D154" s="418"/>
      <c r="E154" s="418"/>
      <c r="F154" s="418"/>
      <c r="G154" s="418"/>
      <c r="H154" s="432">
        <v>2020</v>
      </c>
    </row>
    <row r="155" spans="1:8">
      <c r="A155" s="414">
        <v>43862</v>
      </c>
      <c r="B155">
        <v>97</v>
      </c>
      <c r="C155" s="418"/>
      <c r="D155" s="418"/>
      <c r="E155" s="418"/>
      <c r="F155" s="418"/>
      <c r="G155" s="418"/>
      <c r="H155" s="432">
        <v>2020</v>
      </c>
    </row>
    <row r="156" spans="1:8">
      <c r="A156" s="414">
        <v>43862</v>
      </c>
      <c r="B156">
        <v>98</v>
      </c>
      <c r="C156" s="418"/>
      <c r="D156" s="418"/>
      <c r="E156" s="418"/>
      <c r="F156" s="418"/>
      <c r="G156" s="418"/>
      <c r="H156" s="432">
        <v>2020</v>
      </c>
    </row>
    <row r="157" spans="1:8">
      <c r="A157" s="414">
        <v>43862</v>
      </c>
      <c r="B157">
        <v>801</v>
      </c>
      <c r="C157" s="418"/>
      <c r="D157" s="418"/>
      <c r="E157" s="418"/>
      <c r="F157" s="418"/>
      <c r="G157" s="418"/>
      <c r="H157" s="432">
        <v>2020</v>
      </c>
    </row>
    <row r="158" spans="1:8">
      <c r="A158" s="414">
        <v>43862</v>
      </c>
      <c r="B158">
        <v>802</v>
      </c>
      <c r="C158" s="418"/>
      <c r="D158" s="418"/>
      <c r="E158" s="418"/>
      <c r="F158" s="418"/>
      <c r="G158" s="418"/>
      <c r="H158" s="432">
        <v>2020</v>
      </c>
    </row>
    <row r="159" spans="1:8">
      <c r="A159" s="414">
        <v>43862</v>
      </c>
      <c r="B159">
        <v>803</v>
      </c>
      <c r="C159" s="418"/>
      <c r="D159" s="418"/>
      <c r="E159" s="418"/>
      <c r="F159" s="418"/>
      <c r="G159" s="418"/>
      <c r="H159" s="432">
        <v>2020</v>
      </c>
    </row>
    <row r="160" spans="1:8">
      <c r="A160" s="414">
        <v>43862</v>
      </c>
      <c r="B160">
        <v>804</v>
      </c>
      <c r="C160" s="418"/>
      <c r="D160" s="418"/>
      <c r="E160" s="418"/>
      <c r="F160" s="418"/>
      <c r="G160" s="418"/>
      <c r="H160" s="432">
        <v>2020</v>
      </c>
    </row>
    <row r="161" spans="1:8">
      <c r="A161" s="414">
        <v>43862</v>
      </c>
      <c r="B161">
        <v>806</v>
      </c>
      <c r="C161" s="418"/>
      <c r="D161" s="418"/>
      <c r="E161" s="418"/>
      <c r="F161" s="418"/>
      <c r="G161" s="418"/>
      <c r="H161" s="432">
        <v>2020</v>
      </c>
    </row>
    <row r="162" spans="1:8">
      <c r="A162" s="414">
        <v>43891</v>
      </c>
      <c r="B162">
        <v>1</v>
      </c>
      <c r="C162" s="418"/>
      <c r="D162" s="418"/>
      <c r="E162" s="418"/>
      <c r="F162" s="418"/>
      <c r="G162" s="418"/>
      <c r="H162" s="432">
        <v>2020</v>
      </c>
    </row>
    <row r="163" spans="1:8">
      <c r="A163" s="414">
        <v>43891</v>
      </c>
      <c r="B163">
        <v>2</v>
      </c>
      <c r="C163" s="418"/>
      <c r="D163" s="418"/>
      <c r="E163" s="418"/>
      <c r="F163" s="418"/>
      <c r="G163" s="418"/>
      <c r="H163" s="432">
        <v>2020</v>
      </c>
    </row>
    <row r="164" spans="1:8">
      <c r="A164" s="414">
        <v>43891</v>
      </c>
      <c r="B164">
        <v>3</v>
      </c>
      <c r="C164" s="418"/>
      <c r="D164" s="418"/>
      <c r="E164" s="418"/>
      <c r="F164" s="418"/>
      <c r="G164" s="418"/>
      <c r="H164" s="432">
        <v>2020</v>
      </c>
    </row>
    <row r="165" spans="1:8">
      <c r="A165" s="414">
        <v>43891</v>
      </c>
      <c r="B165">
        <v>5</v>
      </c>
      <c r="C165" s="418"/>
      <c r="D165" s="418"/>
      <c r="E165" s="418"/>
      <c r="F165" s="418"/>
      <c r="G165" s="418"/>
      <c r="H165" s="432">
        <v>2020</v>
      </c>
    </row>
    <row r="166" spans="1:8">
      <c r="A166" s="414">
        <v>43891</v>
      </c>
      <c r="B166">
        <v>6</v>
      </c>
      <c r="C166" s="418"/>
      <c r="D166" s="418"/>
      <c r="E166" s="418"/>
      <c r="F166" s="418"/>
      <c r="G166" s="418"/>
      <c r="H166" s="432">
        <v>2020</v>
      </c>
    </row>
    <row r="167" spans="1:8">
      <c r="A167" s="414">
        <v>43891</v>
      </c>
      <c r="B167">
        <v>7</v>
      </c>
      <c r="C167" s="418"/>
      <c r="D167" s="418"/>
      <c r="E167" s="418"/>
      <c r="F167" s="418"/>
      <c r="G167" s="418"/>
      <c r="H167" s="432">
        <v>2020</v>
      </c>
    </row>
    <row r="168" spans="1:8">
      <c r="A168" s="414">
        <v>43891</v>
      </c>
      <c r="B168">
        <v>8</v>
      </c>
      <c r="C168" s="418"/>
      <c r="D168" s="418"/>
      <c r="E168" s="418"/>
      <c r="F168" s="418"/>
      <c r="G168" s="418"/>
      <c r="H168" s="432">
        <v>2020</v>
      </c>
    </row>
    <row r="169" spans="1:8">
      <c r="A169" s="414">
        <v>43891</v>
      </c>
      <c r="B169">
        <v>9</v>
      </c>
      <c r="C169" s="418"/>
      <c r="D169" s="418"/>
      <c r="E169" s="418"/>
      <c r="F169" s="418"/>
      <c r="G169" s="418"/>
      <c r="H169" s="432">
        <v>2020</v>
      </c>
    </row>
    <row r="170" spans="1:8">
      <c r="A170" s="414">
        <v>43891</v>
      </c>
      <c r="B170">
        <v>10</v>
      </c>
      <c r="C170" s="418"/>
      <c r="D170" s="418"/>
      <c r="E170" s="418"/>
      <c r="F170" s="418"/>
      <c r="G170" s="418"/>
      <c r="H170" s="432">
        <v>2020</v>
      </c>
    </row>
    <row r="171" spans="1:8">
      <c r="A171" s="414">
        <v>43891</v>
      </c>
      <c r="B171">
        <v>13</v>
      </c>
      <c r="C171" s="418"/>
      <c r="D171" s="418"/>
      <c r="E171" s="418"/>
      <c r="F171" s="418"/>
      <c r="G171" s="418"/>
      <c r="H171" s="432">
        <v>2020</v>
      </c>
    </row>
    <row r="172" spans="1:8">
      <c r="A172" s="414">
        <v>43891</v>
      </c>
      <c r="B172">
        <v>15</v>
      </c>
      <c r="C172" s="418"/>
      <c r="D172" s="418"/>
      <c r="E172" s="418"/>
      <c r="F172" s="418"/>
      <c r="G172" s="418"/>
      <c r="H172" s="432">
        <v>2020</v>
      </c>
    </row>
    <row r="173" spans="1:8">
      <c r="A173" s="414">
        <v>43891</v>
      </c>
      <c r="B173">
        <v>18</v>
      </c>
      <c r="C173" s="418"/>
      <c r="D173" s="418"/>
      <c r="E173" s="418"/>
      <c r="F173" s="418"/>
      <c r="G173" s="418"/>
      <c r="H173" s="432">
        <v>2020</v>
      </c>
    </row>
    <row r="174" spans="1:8">
      <c r="A174" s="414">
        <v>43891</v>
      </c>
      <c r="B174">
        <v>95</v>
      </c>
      <c r="C174" s="418"/>
      <c r="D174" s="418"/>
      <c r="E174" s="418"/>
      <c r="F174" s="418"/>
      <c r="G174" s="418"/>
      <c r="H174" s="432">
        <v>2020</v>
      </c>
    </row>
    <row r="175" spans="1:8">
      <c r="A175" s="414">
        <v>43891</v>
      </c>
      <c r="B175">
        <v>97</v>
      </c>
      <c r="C175" s="418"/>
      <c r="D175" s="418"/>
      <c r="E175" s="418"/>
      <c r="F175" s="418"/>
      <c r="G175" s="418"/>
      <c r="H175" s="432">
        <v>2020</v>
      </c>
    </row>
    <row r="176" spans="1:8">
      <c r="A176" s="414">
        <v>43891</v>
      </c>
      <c r="B176">
        <v>98</v>
      </c>
      <c r="C176" s="418"/>
      <c r="D176" s="418"/>
      <c r="E176" s="418"/>
      <c r="F176" s="418"/>
      <c r="G176" s="418"/>
      <c r="H176" s="432">
        <v>2020</v>
      </c>
    </row>
    <row r="177" spans="1:8">
      <c r="A177" s="414">
        <v>43891</v>
      </c>
      <c r="B177">
        <v>801</v>
      </c>
      <c r="C177" s="418"/>
      <c r="D177" s="418"/>
      <c r="E177" s="418"/>
      <c r="F177" s="418"/>
      <c r="G177" s="418"/>
      <c r="H177" s="432">
        <v>2020</v>
      </c>
    </row>
    <row r="178" spans="1:8">
      <c r="A178" s="414">
        <v>43891</v>
      </c>
      <c r="B178">
        <v>802</v>
      </c>
      <c r="C178" s="418"/>
      <c r="D178" s="418"/>
      <c r="E178" s="418"/>
      <c r="F178" s="418"/>
      <c r="G178" s="418"/>
      <c r="H178" s="432">
        <v>2020</v>
      </c>
    </row>
    <row r="179" spans="1:8">
      <c r="A179" s="414">
        <v>43891</v>
      </c>
      <c r="B179">
        <v>803</v>
      </c>
      <c r="C179" s="418"/>
      <c r="D179" s="418"/>
      <c r="E179" s="418"/>
      <c r="F179" s="418"/>
      <c r="G179" s="418"/>
      <c r="H179" s="432">
        <v>2020</v>
      </c>
    </row>
    <row r="180" spans="1:8">
      <c r="A180" s="414">
        <v>43891</v>
      </c>
      <c r="B180">
        <v>804</v>
      </c>
      <c r="C180" s="418"/>
      <c r="D180" s="418"/>
      <c r="E180" s="418"/>
      <c r="F180" s="418"/>
      <c r="G180" s="418"/>
      <c r="H180" s="432">
        <v>2020</v>
      </c>
    </row>
    <row r="181" spans="1:8">
      <c r="A181" s="414">
        <v>43891</v>
      </c>
      <c r="B181">
        <v>806</v>
      </c>
      <c r="C181" s="418"/>
      <c r="D181" s="418"/>
      <c r="E181" s="418"/>
      <c r="F181" s="418"/>
      <c r="G181" s="418"/>
      <c r="H181" s="432">
        <v>2020</v>
      </c>
    </row>
    <row r="182" spans="1:8">
      <c r="A182" s="414">
        <v>43922</v>
      </c>
      <c r="B182">
        <v>1</v>
      </c>
      <c r="C182" s="418"/>
      <c r="D182" s="418"/>
      <c r="E182" s="418"/>
      <c r="F182" s="418"/>
      <c r="G182" s="418"/>
      <c r="H182" s="432">
        <v>2020</v>
      </c>
    </row>
    <row r="183" spans="1:8">
      <c r="A183" s="414">
        <v>43922</v>
      </c>
      <c r="B183">
        <v>2</v>
      </c>
      <c r="C183" s="418"/>
      <c r="D183" s="418"/>
      <c r="E183" s="418"/>
      <c r="F183" s="418"/>
      <c r="G183" s="418"/>
      <c r="H183" s="432">
        <v>2020</v>
      </c>
    </row>
    <row r="184" spans="1:8">
      <c r="A184" s="414">
        <v>43922</v>
      </c>
      <c r="B184">
        <v>3</v>
      </c>
      <c r="C184" s="418"/>
      <c r="D184" s="418"/>
      <c r="E184" s="418"/>
      <c r="F184" s="418"/>
      <c r="G184" s="418"/>
      <c r="H184" s="432">
        <v>2020</v>
      </c>
    </row>
    <row r="185" spans="1:8">
      <c r="A185" s="414">
        <v>43922</v>
      </c>
      <c r="B185">
        <v>5</v>
      </c>
      <c r="C185" s="418"/>
      <c r="D185" s="418"/>
      <c r="E185" s="418"/>
      <c r="F185" s="418"/>
      <c r="G185" s="418"/>
      <c r="H185" s="432">
        <v>2020</v>
      </c>
    </row>
    <row r="186" spans="1:8">
      <c r="A186" s="414">
        <v>43922</v>
      </c>
      <c r="B186">
        <v>6</v>
      </c>
      <c r="C186" s="418"/>
      <c r="D186" s="418"/>
      <c r="E186" s="418"/>
      <c r="F186" s="418"/>
      <c r="G186" s="418"/>
      <c r="H186" s="432">
        <v>2020</v>
      </c>
    </row>
    <row r="187" spans="1:8">
      <c r="A187" s="414">
        <v>43922</v>
      </c>
      <c r="B187">
        <v>7</v>
      </c>
      <c r="C187" s="418"/>
      <c r="D187" s="418"/>
      <c r="E187" s="418"/>
      <c r="F187" s="418"/>
      <c r="G187" s="418"/>
      <c r="H187" s="432">
        <v>2020</v>
      </c>
    </row>
    <row r="188" spans="1:8">
      <c r="A188" s="414">
        <v>43922</v>
      </c>
      <c r="B188">
        <v>8</v>
      </c>
      <c r="C188" s="418"/>
      <c r="D188" s="418"/>
      <c r="E188" s="418"/>
      <c r="F188" s="418"/>
      <c r="G188" s="418"/>
      <c r="H188" s="432">
        <v>2020</v>
      </c>
    </row>
    <row r="189" spans="1:8">
      <c r="A189" s="414">
        <v>43922</v>
      </c>
      <c r="B189">
        <v>9</v>
      </c>
      <c r="C189" s="418"/>
      <c r="D189" s="418"/>
      <c r="E189" s="418"/>
      <c r="F189" s="418"/>
      <c r="G189" s="418"/>
      <c r="H189" s="432">
        <v>2020</v>
      </c>
    </row>
    <row r="190" spans="1:8">
      <c r="A190" s="414">
        <v>43922</v>
      </c>
      <c r="B190">
        <v>10</v>
      </c>
      <c r="C190" s="418"/>
      <c r="D190" s="418"/>
      <c r="E190" s="418"/>
      <c r="F190" s="418"/>
      <c r="G190" s="418"/>
      <c r="H190" s="432">
        <v>2020</v>
      </c>
    </row>
    <row r="191" spans="1:8">
      <c r="A191" s="414">
        <v>43922</v>
      </c>
      <c r="B191">
        <v>13</v>
      </c>
      <c r="C191" s="418"/>
      <c r="D191" s="418"/>
      <c r="E191" s="418"/>
      <c r="F191" s="418"/>
      <c r="G191" s="418"/>
      <c r="H191" s="432">
        <v>2020</v>
      </c>
    </row>
    <row r="192" spans="1:8">
      <c r="A192" s="414">
        <v>43922</v>
      </c>
      <c r="B192">
        <v>15</v>
      </c>
      <c r="C192" s="418"/>
      <c r="D192" s="418"/>
      <c r="E192" s="418"/>
      <c r="F192" s="418"/>
      <c r="G192" s="418"/>
      <c r="H192" s="432">
        <v>2020</v>
      </c>
    </row>
    <row r="193" spans="1:8">
      <c r="A193" s="414">
        <v>43922</v>
      </c>
      <c r="B193">
        <v>18</v>
      </c>
      <c r="C193" s="418"/>
      <c r="D193" s="418"/>
      <c r="E193" s="418"/>
      <c r="F193" s="418"/>
      <c r="G193" s="418"/>
      <c r="H193" s="432">
        <v>2020</v>
      </c>
    </row>
    <row r="194" spans="1:8">
      <c r="A194" s="414">
        <v>43922</v>
      </c>
      <c r="B194">
        <v>95</v>
      </c>
      <c r="C194" s="418"/>
      <c r="D194" s="418"/>
      <c r="E194" s="418"/>
      <c r="F194" s="418"/>
      <c r="G194" s="418"/>
      <c r="H194" s="432">
        <v>2020</v>
      </c>
    </row>
    <row r="195" spans="1:8">
      <c r="A195" s="414">
        <v>43922</v>
      </c>
      <c r="B195">
        <v>97</v>
      </c>
      <c r="C195" s="418"/>
      <c r="D195" s="418"/>
      <c r="E195" s="418"/>
      <c r="F195" s="418"/>
      <c r="G195" s="418"/>
      <c r="H195" s="432">
        <v>2020</v>
      </c>
    </row>
    <row r="196" spans="1:8">
      <c r="A196" s="414">
        <v>43922</v>
      </c>
      <c r="B196">
        <v>98</v>
      </c>
      <c r="C196" s="418"/>
      <c r="D196" s="418"/>
      <c r="E196" s="418"/>
      <c r="F196" s="418"/>
      <c r="G196" s="418"/>
      <c r="H196" s="432">
        <v>2020</v>
      </c>
    </row>
    <row r="197" spans="1:8">
      <c r="A197" s="414">
        <v>43922</v>
      </c>
      <c r="B197">
        <v>801</v>
      </c>
      <c r="C197" s="418"/>
      <c r="D197" s="418"/>
      <c r="E197" s="418"/>
      <c r="F197" s="418"/>
      <c r="G197" s="418"/>
      <c r="H197" s="432">
        <v>2020</v>
      </c>
    </row>
    <row r="198" spans="1:8">
      <c r="A198" s="414">
        <v>43922</v>
      </c>
      <c r="B198">
        <v>802</v>
      </c>
      <c r="C198" s="418"/>
      <c r="D198" s="418"/>
      <c r="E198" s="418"/>
      <c r="F198" s="418"/>
      <c r="G198" s="418"/>
      <c r="H198" s="432">
        <v>2020</v>
      </c>
    </row>
    <row r="199" spans="1:8">
      <c r="A199" s="414">
        <v>43922</v>
      </c>
      <c r="B199">
        <v>803</v>
      </c>
      <c r="C199" s="418"/>
      <c r="D199" s="418"/>
      <c r="E199" s="418"/>
      <c r="F199" s="418"/>
      <c r="G199" s="418"/>
      <c r="H199" s="432">
        <v>2020</v>
      </c>
    </row>
    <row r="200" spans="1:8">
      <c r="A200" s="414">
        <v>43922</v>
      </c>
      <c r="B200">
        <v>804</v>
      </c>
      <c r="C200" s="418"/>
      <c r="D200" s="418"/>
      <c r="E200" s="418"/>
      <c r="F200" s="418"/>
      <c r="G200" s="418"/>
      <c r="H200" s="432">
        <v>2020</v>
      </c>
    </row>
    <row r="201" spans="1:8">
      <c r="A201" s="414">
        <v>43922</v>
      </c>
      <c r="B201">
        <v>806</v>
      </c>
      <c r="C201" s="418"/>
      <c r="D201" s="418"/>
      <c r="E201" s="418"/>
      <c r="F201" s="418"/>
      <c r="G201" s="418"/>
      <c r="H201" s="432">
        <v>2020</v>
      </c>
    </row>
    <row r="202" spans="1:8">
      <c r="A202" s="414">
        <v>43952</v>
      </c>
      <c r="B202">
        <v>1</v>
      </c>
      <c r="C202" s="418"/>
      <c r="D202" s="418"/>
      <c r="E202" s="418"/>
      <c r="F202" s="418"/>
      <c r="G202" s="418"/>
      <c r="H202" s="432">
        <v>2020</v>
      </c>
    </row>
    <row r="203" spans="1:8">
      <c r="A203" s="414">
        <v>43952</v>
      </c>
      <c r="B203">
        <v>2</v>
      </c>
      <c r="C203" s="418"/>
      <c r="D203" s="418"/>
      <c r="E203" s="418"/>
      <c r="F203" s="418"/>
      <c r="G203" s="418"/>
      <c r="H203" s="432">
        <v>2020</v>
      </c>
    </row>
    <row r="204" spans="1:8">
      <c r="A204" s="414">
        <v>43952</v>
      </c>
      <c r="B204">
        <v>3</v>
      </c>
      <c r="C204" s="418"/>
      <c r="D204" s="418"/>
      <c r="E204" s="418"/>
      <c r="F204" s="418"/>
      <c r="G204" s="418"/>
      <c r="H204" s="432">
        <v>2020</v>
      </c>
    </row>
    <row r="205" spans="1:8">
      <c r="A205" s="414">
        <v>43952</v>
      </c>
      <c r="B205">
        <v>5</v>
      </c>
      <c r="C205" s="418"/>
      <c r="D205" s="418"/>
      <c r="E205" s="418"/>
      <c r="F205" s="418"/>
      <c r="G205" s="418"/>
      <c r="H205" s="432">
        <v>2020</v>
      </c>
    </row>
    <row r="206" spans="1:8">
      <c r="A206" s="414">
        <v>43952</v>
      </c>
      <c r="B206">
        <v>6</v>
      </c>
      <c r="C206" s="418"/>
      <c r="D206" s="418"/>
      <c r="E206" s="418"/>
      <c r="F206" s="418"/>
      <c r="G206" s="418"/>
      <c r="H206" s="432">
        <v>2020</v>
      </c>
    </row>
    <row r="207" spans="1:8">
      <c r="A207" s="414">
        <v>43952</v>
      </c>
      <c r="B207">
        <v>7</v>
      </c>
      <c r="C207" s="418"/>
      <c r="D207" s="418"/>
      <c r="E207" s="418"/>
      <c r="F207" s="418"/>
      <c r="G207" s="418"/>
      <c r="H207" s="432">
        <v>2020</v>
      </c>
    </row>
    <row r="208" spans="1:8">
      <c r="A208" s="414">
        <v>43952</v>
      </c>
      <c r="B208">
        <v>8</v>
      </c>
      <c r="C208" s="418"/>
      <c r="D208" s="418"/>
      <c r="E208" s="418"/>
      <c r="F208" s="418"/>
      <c r="G208" s="418"/>
      <c r="H208" s="432">
        <v>2020</v>
      </c>
    </row>
    <row r="209" spans="1:8">
      <c r="A209" s="414">
        <v>43952</v>
      </c>
      <c r="B209">
        <v>9</v>
      </c>
      <c r="C209" s="418"/>
      <c r="D209" s="418"/>
      <c r="E209" s="418"/>
      <c r="F209" s="418"/>
      <c r="G209" s="418"/>
      <c r="H209" s="432">
        <v>2020</v>
      </c>
    </row>
    <row r="210" spans="1:8">
      <c r="A210" s="414">
        <v>43952</v>
      </c>
      <c r="B210">
        <v>10</v>
      </c>
      <c r="C210" s="418"/>
      <c r="D210" s="418"/>
      <c r="E210" s="418"/>
      <c r="F210" s="418"/>
      <c r="G210" s="418"/>
      <c r="H210" s="432">
        <v>2020</v>
      </c>
    </row>
    <row r="211" spans="1:8">
      <c r="A211" s="414">
        <v>43952</v>
      </c>
      <c r="B211">
        <v>13</v>
      </c>
      <c r="C211" s="418"/>
      <c r="D211" s="418"/>
      <c r="E211" s="418"/>
      <c r="F211" s="418"/>
      <c r="G211" s="418"/>
      <c r="H211" s="432">
        <v>2020</v>
      </c>
    </row>
    <row r="212" spans="1:8">
      <c r="A212" s="414">
        <v>43952</v>
      </c>
      <c r="B212">
        <v>15</v>
      </c>
      <c r="C212" s="418"/>
      <c r="D212" s="418"/>
      <c r="E212" s="418"/>
      <c r="F212" s="418"/>
      <c r="G212" s="418"/>
      <c r="H212" s="432">
        <v>2020</v>
      </c>
    </row>
    <row r="213" spans="1:8">
      <c r="A213" s="414">
        <v>43952</v>
      </c>
      <c r="B213">
        <v>18</v>
      </c>
      <c r="C213" s="418"/>
      <c r="D213" s="418"/>
      <c r="E213" s="418"/>
      <c r="F213" s="418"/>
      <c r="G213" s="418"/>
      <c r="H213" s="432">
        <v>2020</v>
      </c>
    </row>
    <row r="214" spans="1:8">
      <c r="A214" s="414">
        <v>43952</v>
      </c>
      <c r="B214">
        <v>95</v>
      </c>
      <c r="C214" s="418"/>
      <c r="D214" s="418"/>
      <c r="E214" s="418"/>
      <c r="F214" s="418"/>
      <c r="G214" s="418"/>
      <c r="H214" s="432">
        <v>2020</v>
      </c>
    </row>
    <row r="215" spans="1:8">
      <c r="A215" s="414">
        <v>43952</v>
      </c>
      <c r="B215">
        <v>97</v>
      </c>
      <c r="C215" s="418"/>
      <c r="D215" s="418"/>
      <c r="E215" s="418"/>
      <c r="F215" s="418"/>
      <c r="G215" s="418"/>
      <c r="H215" s="432">
        <v>2020</v>
      </c>
    </row>
    <row r="216" spans="1:8">
      <c r="A216" s="414">
        <v>43952</v>
      </c>
      <c r="B216">
        <v>98</v>
      </c>
      <c r="C216" s="418"/>
      <c r="D216" s="418"/>
      <c r="E216" s="418"/>
      <c r="F216" s="418"/>
      <c r="G216" s="418"/>
      <c r="H216" s="432">
        <v>2020</v>
      </c>
    </row>
    <row r="217" spans="1:8">
      <c r="A217" s="414">
        <v>43952</v>
      </c>
      <c r="B217">
        <v>801</v>
      </c>
      <c r="C217" s="418"/>
      <c r="D217" s="418"/>
      <c r="E217" s="418"/>
      <c r="F217" s="418"/>
      <c r="G217" s="418"/>
      <c r="H217" s="432">
        <v>2020</v>
      </c>
    </row>
    <row r="218" spans="1:8">
      <c r="A218" s="414">
        <v>43952</v>
      </c>
      <c r="B218">
        <v>802</v>
      </c>
      <c r="C218" s="418"/>
      <c r="D218" s="418"/>
      <c r="E218" s="418"/>
      <c r="F218" s="418"/>
      <c r="G218" s="418"/>
      <c r="H218" s="432">
        <v>2020</v>
      </c>
    </row>
    <row r="219" spans="1:8">
      <c r="A219" s="414">
        <v>43952</v>
      </c>
      <c r="B219">
        <v>803</v>
      </c>
      <c r="C219" s="418"/>
      <c r="D219" s="418"/>
      <c r="E219" s="418"/>
      <c r="F219" s="418"/>
      <c r="G219" s="418"/>
      <c r="H219" s="432">
        <v>2020</v>
      </c>
    </row>
    <row r="220" spans="1:8">
      <c r="A220" s="414">
        <v>43952</v>
      </c>
      <c r="B220">
        <v>804</v>
      </c>
      <c r="C220" s="418"/>
      <c r="D220" s="418"/>
      <c r="E220" s="418"/>
      <c r="F220" s="418"/>
      <c r="G220" s="418"/>
      <c r="H220" s="432">
        <v>2020</v>
      </c>
    </row>
    <row r="221" spans="1:8">
      <c r="A221" s="414">
        <v>43952</v>
      </c>
      <c r="B221">
        <v>806</v>
      </c>
      <c r="C221" s="418"/>
      <c r="D221" s="418"/>
      <c r="E221" s="418"/>
      <c r="F221" s="418"/>
      <c r="G221" s="418"/>
      <c r="H221" s="432">
        <v>2020</v>
      </c>
    </row>
    <row r="222" spans="1:8">
      <c r="A222" s="414">
        <v>43983</v>
      </c>
      <c r="B222">
        <v>1</v>
      </c>
      <c r="C222" s="418"/>
      <c r="D222" s="418"/>
      <c r="E222" s="418"/>
      <c r="F222" s="418"/>
      <c r="G222" s="418"/>
      <c r="H222" s="432">
        <v>2020</v>
      </c>
    </row>
    <row r="223" spans="1:8">
      <c r="A223" s="414">
        <v>43983</v>
      </c>
      <c r="B223">
        <v>2</v>
      </c>
      <c r="C223" s="418"/>
      <c r="D223" s="418"/>
      <c r="E223" s="418"/>
      <c r="F223" s="418"/>
      <c r="G223" s="418"/>
      <c r="H223" s="432">
        <v>2020</v>
      </c>
    </row>
    <row r="224" spans="1:8">
      <c r="A224" s="414">
        <v>43983</v>
      </c>
      <c r="B224">
        <v>3</v>
      </c>
      <c r="C224" s="418"/>
      <c r="D224" s="418"/>
      <c r="E224" s="418"/>
      <c r="F224" s="418"/>
      <c r="G224" s="418"/>
      <c r="H224" s="432">
        <v>2020</v>
      </c>
    </row>
    <row r="225" spans="1:8">
      <c r="A225" s="414">
        <v>43983</v>
      </c>
      <c r="B225">
        <v>5</v>
      </c>
      <c r="C225" s="418"/>
      <c r="D225" s="418"/>
      <c r="E225" s="418"/>
      <c r="F225" s="418"/>
      <c r="G225" s="418"/>
      <c r="H225" s="432">
        <v>2020</v>
      </c>
    </row>
    <row r="226" spans="1:8">
      <c r="A226" s="414">
        <v>43983</v>
      </c>
      <c r="B226">
        <v>6</v>
      </c>
      <c r="C226" s="418"/>
      <c r="D226" s="418"/>
      <c r="E226" s="418"/>
      <c r="F226" s="418"/>
      <c r="G226" s="418"/>
      <c r="H226" s="432">
        <v>2020</v>
      </c>
    </row>
    <row r="227" spans="1:8">
      <c r="A227" s="414">
        <v>43983</v>
      </c>
      <c r="B227">
        <v>7</v>
      </c>
      <c r="C227" s="418"/>
      <c r="D227" s="418"/>
      <c r="E227" s="418"/>
      <c r="F227" s="418"/>
      <c r="G227" s="418"/>
      <c r="H227" s="432">
        <v>2020</v>
      </c>
    </row>
    <row r="228" spans="1:8">
      <c r="A228" s="414">
        <v>43983</v>
      </c>
      <c r="B228">
        <v>8</v>
      </c>
      <c r="C228" s="418"/>
      <c r="D228" s="418"/>
      <c r="E228" s="418"/>
      <c r="F228" s="418"/>
      <c r="G228" s="418"/>
      <c r="H228" s="432">
        <v>2020</v>
      </c>
    </row>
    <row r="229" spans="1:8">
      <c r="A229" s="414">
        <v>43983</v>
      </c>
      <c r="B229">
        <v>9</v>
      </c>
      <c r="C229" s="418"/>
      <c r="D229" s="418"/>
      <c r="E229" s="418"/>
      <c r="F229" s="418"/>
      <c r="G229" s="418"/>
      <c r="H229" s="432">
        <v>2020</v>
      </c>
    </row>
    <row r="230" spans="1:8">
      <c r="A230" s="414">
        <v>43983</v>
      </c>
      <c r="B230">
        <v>10</v>
      </c>
      <c r="C230" s="418"/>
      <c r="D230" s="418"/>
      <c r="E230" s="418"/>
      <c r="F230" s="418"/>
      <c r="G230" s="418"/>
      <c r="H230" s="432">
        <v>2020</v>
      </c>
    </row>
    <row r="231" spans="1:8">
      <c r="A231" s="414">
        <v>43983</v>
      </c>
      <c r="B231">
        <v>13</v>
      </c>
      <c r="C231" s="418"/>
      <c r="D231" s="418"/>
      <c r="E231" s="418"/>
      <c r="F231" s="418"/>
      <c r="G231" s="418"/>
      <c r="H231" s="432">
        <v>2020</v>
      </c>
    </row>
    <row r="232" spans="1:8">
      <c r="A232" s="414">
        <v>43983</v>
      </c>
      <c r="B232">
        <v>15</v>
      </c>
      <c r="C232" s="418"/>
      <c r="D232" s="418"/>
      <c r="E232" s="418"/>
      <c r="F232" s="418"/>
      <c r="G232" s="418"/>
      <c r="H232" s="432">
        <v>2020</v>
      </c>
    </row>
    <row r="233" spans="1:8">
      <c r="A233" s="414">
        <v>43983</v>
      </c>
      <c r="B233">
        <v>18</v>
      </c>
      <c r="C233" s="418"/>
      <c r="D233" s="418"/>
      <c r="E233" s="418"/>
      <c r="F233" s="418"/>
      <c r="G233" s="418"/>
      <c r="H233" s="432">
        <v>2020</v>
      </c>
    </row>
    <row r="234" spans="1:8">
      <c r="A234" s="414">
        <v>43983</v>
      </c>
      <c r="B234">
        <v>95</v>
      </c>
      <c r="C234" s="418"/>
      <c r="D234" s="418"/>
      <c r="E234" s="418"/>
      <c r="F234" s="418"/>
      <c r="G234" s="418"/>
      <c r="H234" s="432">
        <v>2020</v>
      </c>
    </row>
    <row r="235" spans="1:8">
      <c r="A235" s="414">
        <v>43983</v>
      </c>
      <c r="B235">
        <v>97</v>
      </c>
      <c r="C235" s="418"/>
      <c r="D235" s="418"/>
      <c r="E235" s="418"/>
      <c r="F235" s="418"/>
      <c r="G235" s="418"/>
      <c r="H235" s="432">
        <v>2020</v>
      </c>
    </row>
    <row r="236" spans="1:8">
      <c r="A236" s="414">
        <v>43983</v>
      </c>
      <c r="B236">
        <v>98</v>
      </c>
      <c r="C236" s="418"/>
      <c r="D236" s="418"/>
      <c r="E236" s="418"/>
      <c r="F236" s="418"/>
      <c r="G236" s="418"/>
      <c r="H236" s="432">
        <v>2020</v>
      </c>
    </row>
    <row r="237" spans="1:8">
      <c r="A237" s="414">
        <v>43983</v>
      </c>
      <c r="B237">
        <v>801</v>
      </c>
      <c r="C237" s="418"/>
      <c r="D237" s="418"/>
      <c r="E237" s="418"/>
      <c r="F237" s="418"/>
      <c r="G237" s="418"/>
      <c r="H237" s="432">
        <v>2020</v>
      </c>
    </row>
    <row r="238" spans="1:8">
      <c r="A238" s="414">
        <v>43983</v>
      </c>
      <c r="B238">
        <v>802</v>
      </c>
      <c r="C238" s="418"/>
      <c r="D238" s="418"/>
      <c r="E238" s="418"/>
      <c r="F238" s="418"/>
      <c r="G238" s="418"/>
      <c r="H238" s="432">
        <v>2020</v>
      </c>
    </row>
    <row r="239" spans="1:8">
      <c r="A239" s="414">
        <v>43983</v>
      </c>
      <c r="B239">
        <v>803</v>
      </c>
      <c r="C239" s="418"/>
      <c r="D239" s="418"/>
      <c r="E239" s="418"/>
      <c r="F239" s="418"/>
      <c r="G239" s="418"/>
      <c r="H239" s="432">
        <v>2020</v>
      </c>
    </row>
    <row r="240" spans="1:8">
      <c r="A240" s="414">
        <v>43983</v>
      </c>
      <c r="B240">
        <v>804</v>
      </c>
      <c r="C240" s="418"/>
      <c r="D240" s="418"/>
      <c r="E240" s="418"/>
      <c r="F240" s="418"/>
      <c r="G240" s="418"/>
      <c r="H240" s="432">
        <v>2020</v>
      </c>
    </row>
    <row r="241" spans="1:8">
      <c r="A241" s="414">
        <v>43983</v>
      </c>
      <c r="B241">
        <v>806</v>
      </c>
      <c r="C241" s="418"/>
      <c r="D241" s="418"/>
      <c r="E241" s="418"/>
      <c r="F241" s="418"/>
      <c r="G241" s="418"/>
      <c r="H241" s="432">
        <v>2020</v>
      </c>
    </row>
    <row r="251" spans="1:8">
      <c r="B251">
        <v>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GR148"/>
  <sheetViews>
    <sheetView tabSelected="1" view="pageBreakPreview" topLeftCell="AO1" zoomScale="70" zoomScaleNormal="80" zoomScaleSheetLayoutView="70" workbookViewId="0">
      <selection activeCell="AO1" sqref="AO1"/>
    </sheetView>
  </sheetViews>
  <sheetFormatPr defaultColWidth="9.140625" defaultRowHeight="12.75"/>
  <cols>
    <col min="1" max="2" width="3.7109375" style="198" hidden="1" customWidth="1"/>
    <col min="3" max="3" width="25.140625" style="198" hidden="1" customWidth="1"/>
    <col min="4" max="4" width="13.140625" style="200" hidden="1" customWidth="1"/>
    <col min="5" max="7" width="13.140625" style="198" hidden="1" customWidth="1"/>
    <col min="8" max="8" width="13.140625" style="398" hidden="1" customWidth="1"/>
    <col min="9" max="9" width="15.85546875" style="263" hidden="1" customWidth="1"/>
    <col min="10" max="10" width="12.140625" style="263" hidden="1" customWidth="1"/>
    <col min="11" max="13" width="16" style="198" hidden="1" customWidth="1"/>
    <col min="14" max="14" width="2.28515625" style="198" hidden="1" customWidth="1"/>
    <col min="15" max="15" width="3.7109375" style="198" hidden="1" customWidth="1"/>
    <col min="16" max="16" width="25.140625" style="200" hidden="1" customWidth="1"/>
    <col min="17" max="21" width="13.140625" style="198" hidden="1" customWidth="1"/>
    <col min="22" max="22" width="15.85546875" style="263" hidden="1" customWidth="1"/>
    <col min="23" max="23" width="12.140625" style="263" hidden="1" customWidth="1"/>
    <col min="24" max="24" width="16" style="198" hidden="1" customWidth="1"/>
    <col min="25" max="26" width="16" style="200" hidden="1" customWidth="1"/>
    <col min="27" max="27" width="2.28515625" style="198" hidden="1" customWidth="1"/>
    <col min="28" max="28" width="3.7109375" style="198" hidden="1" customWidth="1"/>
    <col min="29" max="29" width="25.140625" style="198" hidden="1" customWidth="1"/>
    <col min="30" max="30" width="13.140625" style="200" hidden="1" customWidth="1"/>
    <col min="31" max="32" width="13.140625" style="198" hidden="1" customWidth="1"/>
    <col min="33" max="33" width="13.140625" style="200" hidden="1" customWidth="1"/>
    <col min="34" max="34" width="13.140625" style="198" hidden="1" customWidth="1"/>
    <col min="35" max="35" width="15.85546875" style="263" hidden="1" customWidth="1"/>
    <col min="36" max="36" width="12.140625" style="263" hidden="1" customWidth="1"/>
    <col min="37" max="39" width="16" style="198" hidden="1" customWidth="1"/>
    <col min="40" max="40" width="2.28515625" style="198" hidden="1" customWidth="1"/>
    <col min="41" max="41" width="3.7109375" style="198" customWidth="1"/>
    <col min="42" max="42" width="25.140625" style="200" customWidth="1"/>
    <col min="43" max="47" width="13.140625" style="198" customWidth="1"/>
    <col min="48" max="48" width="15.85546875" style="263" customWidth="1"/>
    <col min="49" max="49" width="12.140625" style="263" customWidth="1"/>
    <col min="50" max="52" width="16" style="198" customWidth="1"/>
    <col min="53" max="53" width="2.28515625" style="200" customWidth="1"/>
    <col min="54" max="54" width="3.7109375" style="198" hidden="1" customWidth="1"/>
    <col min="55" max="55" width="25.140625" style="198" hidden="1" customWidth="1"/>
    <col min="56" max="60" width="13.140625" style="198" hidden="1" customWidth="1"/>
    <col min="61" max="61" width="15.85546875" style="263" hidden="1" customWidth="1"/>
    <col min="62" max="62" width="12.140625" style="263" hidden="1" customWidth="1"/>
    <col min="63" max="63" width="16" style="200" hidden="1" customWidth="1"/>
    <col min="64" max="65" width="16" style="198" hidden="1" customWidth="1"/>
    <col min="66" max="66" width="2.28515625" style="198" hidden="1" customWidth="1"/>
    <col min="67" max="67" width="3.7109375" style="198" hidden="1" customWidth="1"/>
    <col min="68" max="68" width="25.140625" style="198" hidden="1" customWidth="1"/>
    <col min="69" max="69" width="13.140625" style="200" hidden="1" customWidth="1"/>
    <col min="70" max="73" width="13.140625" style="198" hidden="1" customWidth="1"/>
    <col min="74" max="74" width="15.85546875" style="263" hidden="1" customWidth="1"/>
    <col min="75" max="75" width="12.140625" style="263" hidden="1" customWidth="1"/>
    <col min="76" max="76" width="16" style="200" hidden="1" customWidth="1"/>
    <col min="77" max="78" width="16" style="198" hidden="1" customWidth="1"/>
    <col min="79" max="79" width="2.28515625" style="198" hidden="1" customWidth="1"/>
    <col min="80" max="80" width="3.5703125" style="198" hidden="1" customWidth="1"/>
    <col min="81" max="81" width="25.140625" style="198" hidden="1" customWidth="1"/>
    <col min="82" max="82" width="13.140625" style="200" hidden="1" customWidth="1"/>
    <col min="83" max="86" width="13.140625" style="198" hidden="1" customWidth="1"/>
    <col min="87" max="87" width="15.85546875" style="263" hidden="1" customWidth="1"/>
    <col min="88" max="88" width="12.140625" style="263" hidden="1" customWidth="1"/>
    <col min="89" max="91" width="16" style="198" hidden="1" customWidth="1"/>
    <col min="92" max="92" width="2.28515625" style="198" hidden="1" customWidth="1"/>
    <col min="93" max="93" width="3.7109375" style="198" hidden="1" customWidth="1"/>
    <col min="94" max="94" width="25.140625" style="200" hidden="1" customWidth="1"/>
    <col min="95" max="99" width="13.140625" style="198" hidden="1" customWidth="1"/>
    <col min="100" max="100" width="15.85546875" style="263" hidden="1" customWidth="1"/>
    <col min="101" max="101" width="12.140625" style="263" hidden="1" customWidth="1"/>
    <col min="102" max="104" width="16" style="198" hidden="1" customWidth="1"/>
    <col min="105" max="105" width="2.28515625" style="198" hidden="1" customWidth="1"/>
    <col min="106" max="106" width="3.7109375" style="198" hidden="1" customWidth="1"/>
    <col min="107" max="107" width="25.140625" style="198" hidden="1" customWidth="1"/>
    <col min="108" max="112" width="13.140625" style="198" hidden="1" customWidth="1"/>
    <col min="113" max="113" width="15.85546875" style="263" hidden="1" customWidth="1"/>
    <col min="114" max="114" width="12.140625" style="263" hidden="1" customWidth="1"/>
    <col min="115" max="117" width="16" style="198" hidden="1" customWidth="1"/>
    <col min="118" max="118" width="2.28515625" style="198" hidden="1" customWidth="1"/>
    <col min="119" max="119" width="3.7109375" style="198" hidden="1" customWidth="1"/>
    <col min="120" max="120" width="25.140625" style="198" hidden="1" customWidth="1"/>
    <col min="121" max="125" width="13.140625" style="198" hidden="1" customWidth="1"/>
    <col min="126" max="126" width="15.85546875" style="263" hidden="1" customWidth="1"/>
    <col min="127" max="127" width="12.140625" style="263" hidden="1" customWidth="1"/>
    <col min="128" max="130" width="16" style="198" hidden="1" customWidth="1"/>
    <col min="131" max="131" width="2.42578125" style="198" hidden="1" customWidth="1"/>
    <col min="132" max="132" width="3.7109375" style="198" hidden="1" customWidth="1"/>
    <col min="133" max="133" width="25.140625" style="198" hidden="1" customWidth="1"/>
    <col min="134" max="138" width="13.140625" style="198" hidden="1" customWidth="1"/>
    <col min="139" max="139" width="15.85546875" style="263" hidden="1" customWidth="1"/>
    <col min="140" max="140" width="12.140625" style="263" hidden="1" customWidth="1"/>
    <col min="141" max="143" width="16" style="198" hidden="1" customWidth="1"/>
    <col min="144" max="144" width="2.28515625" style="198" hidden="1" customWidth="1"/>
    <col min="145" max="145" width="3.7109375" style="198" hidden="1" customWidth="1"/>
    <col min="146" max="146" width="25.140625" style="198" hidden="1" customWidth="1"/>
    <col min="147" max="151" width="13.140625" style="198" hidden="1" customWidth="1"/>
    <col min="152" max="152" width="15.85546875" style="263" hidden="1" customWidth="1"/>
    <col min="153" max="153" width="12.140625" style="263" hidden="1" customWidth="1"/>
    <col min="154" max="156" width="16" style="198" hidden="1" customWidth="1"/>
    <col min="157" max="157" width="9.7109375" style="198" customWidth="1"/>
    <col min="158" max="158" width="8.85546875" style="198" customWidth="1"/>
    <col min="159" max="159" width="10.28515625" style="198" customWidth="1"/>
    <col min="160" max="161" width="8.85546875" style="198" customWidth="1"/>
    <col min="162" max="162" width="9.7109375" style="198" customWidth="1"/>
    <col min="163" max="163" width="8.85546875" style="198" customWidth="1"/>
    <col min="164" max="164" width="11.42578125" style="198" customWidth="1"/>
    <col min="165" max="165" width="11" style="198" customWidth="1"/>
    <col min="166" max="166" width="12.28515625" style="198" customWidth="1"/>
    <col min="167" max="167" width="8.85546875" style="198" customWidth="1"/>
    <col min="168" max="168" width="10.28515625" style="198" customWidth="1"/>
    <col min="169" max="200" width="8.85546875" style="198" customWidth="1"/>
    <col min="201" max="16384" width="9.140625" style="198"/>
  </cols>
  <sheetData>
    <row r="1" spans="1:157" ht="17.25" customHeight="1" thickBot="1">
      <c r="B1" s="199"/>
    </row>
    <row r="2" spans="1:157" s="266" customFormat="1" ht="13.5" thickBot="1">
      <c r="B2" s="569">
        <f>Data!A2</f>
        <v>43647</v>
      </c>
      <c r="C2" s="570"/>
      <c r="D2" s="570"/>
      <c r="E2" s="570"/>
      <c r="F2" s="571"/>
      <c r="G2" s="571"/>
      <c r="H2" s="570"/>
      <c r="I2" s="570"/>
      <c r="J2" s="570"/>
      <c r="K2" s="571"/>
      <c r="L2" s="571"/>
      <c r="M2" s="572"/>
      <c r="O2" s="573">
        <f>Data!A22</f>
        <v>43678</v>
      </c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5"/>
      <c r="AB2" s="560">
        <f>Data!A42</f>
        <v>43709</v>
      </c>
      <c r="AC2" s="561"/>
      <c r="AD2" s="561"/>
      <c r="AE2" s="561"/>
      <c r="AF2" s="561"/>
      <c r="AG2" s="561"/>
      <c r="AH2" s="561"/>
      <c r="AI2" s="561"/>
      <c r="AJ2" s="561"/>
      <c r="AK2" s="561"/>
      <c r="AL2" s="561"/>
      <c r="AM2" s="562"/>
      <c r="AO2" s="563">
        <f>Data!A62</f>
        <v>43739</v>
      </c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5"/>
      <c r="BA2" s="267"/>
      <c r="BB2" s="542">
        <f>Data!A82</f>
        <v>43770</v>
      </c>
      <c r="BC2" s="543"/>
      <c r="BD2" s="543"/>
      <c r="BE2" s="543"/>
      <c r="BF2" s="543"/>
      <c r="BG2" s="543"/>
      <c r="BH2" s="543"/>
      <c r="BI2" s="543"/>
      <c r="BJ2" s="543"/>
      <c r="BK2" s="543"/>
      <c r="BL2" s="543"/>
      <c r="BM2" s="544"/>
      <c r="BO2" s="588">
        <f>Data!A102</f>
        <v>43800</v>
      </c>
      <c r="BP2" s="589"/>
      <c r="BQ2" s="589"/>
      <c r="BR2" s="589"/>
      <c r="BS2" s="589"/>
      <c r="BT2" s="589"/>
      <c r="BU2" s="589"/>
      <c r="BV2" s="589"/>
      <c r="BW2" s="589"/>
      <c r="BX2" s="589"/>
      <c r="BY2" s="589"/>
      <c r="BZ2" s="590"/>
      <c r="CB2" s="594">
        <f>Data!A122</f>
        <v>43831</v>
      </c>
      <c r="CC2" s="595"/>
      <c r="CD2" s="595"/>
      <c r="CE2" s="595"/>
      <c r="CF2" s="595"/>
      <c r="CG2" s="595"/>
      <c r="CH2" s="595"/>
      <c r="CI2" s="595"/>
      <c r="CJ2" s="595"/>
      <c r="CK2" s="595"/>
      <c r="CL2" s="595"/>
      <c r="CM2" s="596"/>
      <c r="CO2" s="591">
        <f>Data!A142</f>
        <v>43862</v>
      </c>
      <c r="CP2" s="592"/>
      <c r="CQ2" s="592"/>
      <c r="CR2" s="592"/>
      <c r="CS2" s="592"/>
      <c r="CT2" s="592"/>
      <c r="CU2" s="592"/>
      <c r="CV2" s="592"/>
      <c r="CW2" s="592"/>
      <c r="CX2" s="592"/>
      <c r="CY2" s="592"/>
      <c r="CZ2" s="593"/>
      <c r="DB2" s="603">
        <f>Data!A162</f>
        <v>43891</v>
      </c>
      <c r="DC2" s="604"/>
      <c r="DD2" s="604"/>
      <c r="DE2" s="604"/>
      <c r="DF2" s="604"/>
      <c r="DG2" s="604"/>
      <c r="DH2" s="604"/>
      <c r="DI2" s="604"/>
      <c r="DJ2" s="604"/>
      <c r="DK2" s="604"/>
      <c r="DL2" s="604"/>
      <c r="DM2" s="605"/>
      <c r="DO2" s="538">
        <f>Data!A182</f>
        <v>43922</v>
      </c>
      <c r="DP2" s="539"/>
      <c r="DQ2" s="539"/>
      <c r="DR2" s="539"/>
      <c r="DS2" s="539"/>
      <c r="DT2" s="539"/>
      <c r="DU2" s="539"/>
      <c r="DV2" s="539"/>
      <c r="DW2" s="539"/>
      <c r="DX2" s="539"/>
      <c r="DY2" s="539"/>
      <c r="DZ2" s="540"/>
      <c r="EB2" s="529">
        <f>Data!A202</f>
        <v>43952</v>
      </c>
      <c r="EC2" s="530"/>
      <c r="ED2" s="530"/>
      <c r="EE2" s="530"/>
      <c r="EF2" s="530"/>
      <c r="EG2" s="530"/>
      <c r="EH2" s="530"/>
      <c r="EI2" s="530"/>
      <c r="EJ2" s="530"/>
      <c r="EK2" s="530"/>
      <c r="EL2" s="530"/>
      <c r="EM2" s="531"/>
      <c r="EO2" s="526">
        <f>Data!A222</f>
        <v>43983</v>
      </c>
      <c r="EP2" s="527"/>
      <c r="EQ2" s="527"/>
      <c r="ER2" s="527"/>
      <c r="ES2" s="527"/>
      <c r="ET2" s="527"/>
      <c r="EU2" s="527"/>
      <c r="EV2" s="527"/>
      <c r="EW2" s="527"/>
      <c r="EX2" s="527"/>
      <c r="EY2" s="527"/>
      <c r="EZ2" s="528"/>
      <c r="FA2" s="268"/>
    </row>
    <row r="3" spans="1:157" ht="13.5" customHeight="1" thickBot="1">
      <c r="B3" s="576"/>
      <c r="C3" s="532" t="s">
        <v>2</v>
      </c>
      <c r="D3" s="541" t="s">
        <v>35</v>
      </c>
      <c r="E3" s="541" t="s">
        <v>36</v>
      </c>
      <c r="F3" s="541" t="s">
        <v>37</v>
      </c>
      <c r="G3" s="541" t="s">
        <v>38</v>
      </c>
      <c r="H3" s="582" t="s">
        <v>39</v>
      </c>
      <c r="I3" s="534" t="s">
        <v>40</v>
      </c>
      <c r="J3" s="579" t="s">
        <v>41</v>
      </c>
      <c r="K3" s="505" t="s">
        <v>42</v>
      </c>
      <c r="L3" s="536"/>
      <c r="M3" s="537"/>
      <c r="O3" s="585"/>
      <c r="P3" s="532" t="s">
        <v>2</v>
      </c>
      <c r="Q3" s="541" t="s">
        <v>35</v>
      </c>
      <c r="R3" s="541" t="s">
        <v>36</v>
      </c>
      <c r="S3" s="541" t="s">
        <v>37</v>
      </c>
      <c r="T3" s="541" t="s">
        <v>38</v>
      </c>
      <c r="U3" s="533" t="s">
        <v>39</v>
      </c>
      <c r="V3" s="534" t="s">
        <v>40</v>
      </c>
      <c r="W3" s="535" t="s">
        <v>41</v>
      </c>
      <c r="X3" s="505" t="s">
        <v>42</v>
      </c>
      <c r="Y3" s="536"/>
      <c r="Z3" s="537"/>
      <c r="AB3" s="566"/>
      <c r="AC3" s="532" t="s">
        <v>2</v>
      </c>
      <c r="AD3" s="541" t="s">
        <v>35</v>
      </c>
      <c r="AE3" s="541" t="s">
        <v>36</v>
      </c>
      <c r="AF3" s="541" t="s">
        <v>37</v>
      </c>
      <c r="AG3" s="541" t="s">
        <v>38</v>
      </c>
      <c r="AH3" s="533" t="s">
        <v>39</v>
      </c>
      <c r="AI3" s="534" t="s">
        <v>40</v>
      </c>
      <c r="AJ3" s="535" t="s">
        <v>41</v>
      </c>
      <c r="AK3" s="505" t="s">
        <v>42</v>
      </c>
      <c r="AL3" s="536"/>
      <c r="AM3" s="537"/>
      <c r="AO3" s="202"/>
      <c r="AP3" s="532" t="s">
        <v>2</v>
      </c>
      <c r="AQ3" s="541" t="s">
        <v>35</v>
      </c>
      <c r="AR3" s="541" t="s">
        <v>36</v>
      </c>
      <c r="AS3" s="541" t="s">
        <v>37</v>
      </c>
      <c r="AT3" s="541" t="s">
        <v>38</v>
      </c>
      <c r="AU3" s="533" t="s">
        <v>39</v>
      </c>
      <c r="AV3" s="534" t="s">
        <v>40</v>
      </c>
      <c r="AW3" s="535" t="s">
        <v>41</v>
      </c>
      <c r="AX3" s="505" t="s">
        <v>42</v>
      </c>
      <c r="AY3" s="536"/>
      <c r="AZ3" s="537"/>
      <c r="BB3" s="554"/>
      <c r="BC3" s="532" t="s">
        <v>2</v>
      </c>
      <c r="BD3" s="541" t="s">
        <v>35</v>
      </c>
      <c r="BE3" s="541" t="s">
        <v>36</v>
      </c>
      <c r="BF3" s="541" t="s">
        <v>37</v>
      </c>
      <c r="BG3" s="541" t="s">
        <v>38</v>
      </c>
      <c r="BH3" s="533" t="s">
        <v>39</v>
      </c>
      <c r="BI3" s="534" t="s">
        <v>40</v>
      </c>
      <c r="BJ3" s="535" t="s">
        <v>41</v>
      </c>
      <c r="BK3" s="505" t="s">
        <v>42</v>
      </c>
      <c r="BL3" s="536"/>
      <c r="BM3" s="537"/>
      <c r="BO3" s="631"/>
      <c r="BP3" s="532" t="s">
        <v>2</v>
      </c>
      <c r="BQ3" s="541" t="s">
        <v>35</v>
      </c>
      <c r="BR3" s="541" t="s">
        <v>36</v>
      </c>
      <c r="BS3" s="541" t="s">
        <v>37</v>
      </c>
      <c r="BT3" s="541" t="s">
        <v>38</v>
      </c>
      <c r="BU3" s="533" t="s">
        <v>39</v>
      </c>
      <c r="BV3" s="534" t="s">
        <v>40</v>
      </c>
      <c r="BW3" s="535" t="s">
        <v>41</v>
      </c>
      <c r="BX3" s="505" t="s">
        <v>42</v>
      </c>
      <c r="BY3" s="536"/>
      <c r="BZ3" s="537"/>
      <c r="CB3" s="597"/>
      <c r="CC3" s="532" t="s">
        <v>2</v>
      </c>
      <c r="CD3" s="541" t="s">
        <v>35</v>
      </c>
      <c r="CE3" s="541" t="s">
        <v>36</v>
      </c>
      <c r="CF3" s="541" t="s">
        <v>37</v>
      </c>
      <c r="CG3" s="541" t="s">
        <v>38</v>
      </c>
      <c r="CH3" s="533" t="s">
        <v>39</v>
      </c>
      <c r="CI3" s="534" t="s">
        <v>40</v>
      </c>
      <c r="CJ3" s="535" t="s">
        <v>41</v>
      </c>
      <c r="CK3" s="505" t="s">
        <v>42</v>
      </c>
      <c r="CL3" s="536"/>
      <c r="CM3" s="537"/>
      <c r="CO3" s="600"/>
      <c r="CP3" s="532" t="s">
        <v>2</v>
      </c>
      <c r="CQ3" s="541" t="s">
        <v>35</v>
      </c>
      <c r="CR3" s="541" t="s">
        <v>36</v>
      </c>
      <c r="CS3" s="541" t="s">
        <v>37</v>
      </c>
      <c r="CT3" s="541" t="s">
        <v>38</v>
      </c>
      <c r="CU3" s="533" t="s">
        <v>39</v>
      </c>
      <c r="CV3" s="534" t="s">
        <v>40</v>
      </c>
      <c r="CW3" s="535" t="s">
        <v>41</v>
      </c>
      <c r="CX3" s="505" t="s">
        <v>42</v>
      </c>
      <c r="CY3" s="536"/>
      <c r="CZ3" s="537"/>
      <c r="DB3" s="606"/>
      <c r="DC3" s="532" t="s">
        <v>2</v>
      </c>
      <c r="DD3" s="541" t="s">
        <v>35</v>
      </c>
      <c r="DE3" s="541" t="s">
        <v>36</v>
      </c>
      <c r="DF3" s="541" t="s">
        <v>37</v>
      </c>
      <c r="DG3" s="541" t="s">
        <v>38</v>
      </c>
      <c r="DH3" s="533" t="s">
        <v>39</v>
      </c>
      <c r="DI3" s="534" t="s">
        <v>40</v>
      </c>
      <c r="DJ3" s="535" t="s">
        <v>41</v>
      </c>
      <c r="DK3" s="505" t="s">
        <v>42</v>
      </c>
      <c r="DL3" s="536"/>
      <c r="DM3" s="537"/>
      <c r="DO3" s="609"/>
      <c r="DP3" s="532" t="s">
        <v>2</v>
      </c>
      <c r="DQ3" s="541" t="s">
        <v>35</v>
      </c>
      <c r="DR3" s="541" t="s">
        <v>36</v>
      </c>
      <c r="DS3" s="541" t="s">
        <v>37</v>
      </c>
      <c r="DT3" s="541" t="s">
        <v>38</v>
      </c>
      <c r="DU3" s="533" t="s">
        <v>39</v>
      </c>
      <c r="DV3" s="534" t="s">
        <v>40</v>
      </c>
      <c r="DW3" s="535" t="s">
        <v>41</v>
      </c>
      <c r="DX3" s="505" t="s">
        <v>42</v>
      </c>
      <c r="DY3" s="536"/>
      <c r="DZ3" s="537"/>
      <c r="EB3" s="203"/>
      <c r="EC3" s="532" t="s">
        <v>2</v>
      </c>
      <c r="ED3" s="541" t="s">
        <v>35</v>
      </c>
      <c r="EE3" s="541" t="s">
        <v>36</v>
      </c>
      <c r="EF3" s="541" t="s">
        <v>37</v>
      </c>
      <c r="EG3" s="541" t="s">
        <v>38</v>
      </c>
      <c r="EH3" s="533" t="s">
        <v>39</v>
      </c>
      <c r="EI3" s="534" t="s">
        <v>40</v>
      </c>
      <c r="EJ3" s="535" t="s">
        <v>41</v>
      </c>
      <c r="EK3" s="505" t="s">
        <v>42</v>
      </c>
      <c r="EL3" s="536"/>
      <c r="EM3" s="537"/>
      <c r="EO3" s="204"/>
      <c r="EP3" s="532" t="s">
        <v>2</v>
      </c>
      <c r="EQ3" s="541" t="s">
        <v>35</v>
      </c>
      <c r="ER3" s="541" t="s">
        <v>36</v>
      </c>
      <c r="ES3" s="541" t="s">
        <v>37</v>
      </c>
      <c r="ET3" s="541" t="s">
        <v>38</v>
      </c>
      <c r="EU3" s="533" t="s">
        <v>39</v>
      </c>
      <c r="EV3" s="534" t="s">
        <v>40</v>
      </c>
      <c r="EW3" s="535" t="s">
        <v>41</v>
      </c>
      <c r="EX3" s="505" t="s">
        <v>42</v>
      </c>
      <c r="EY3" s="536"/>
      <c r="EZ3" s="537"/>
      <c r="FA3" s="201"/>
    </row>
    <row r="4" spans="1:157" ht="12.75" customHeight="1">
      <c r="B4" s="577"/>
      <c r="C4" s="518"/>
      <c r="D4" s="500"/>
      <c r="E4" s="500"/>
      <c r="F4" s="500"/>
      <c r="G4" s="500"/>
      <c r="H4" s="583"/>
      <c r="I4" s="524"/>
      <c r="J4" s="580"/>
      <c r="K4" s="505" t="s">
        <v>43</v>
      </c>
      <c r="L4" s="507" t="s">
        <v>44</v>
      </c>
      <c r="M4" s="509" t="s">
        <v>45</v>
      </c>
      <c r="O4" s="586"/>
      <c r="P4" s="518"/>
      <c r="Q4" s="500"/>
      <c r="R4" s="500"/>
      <c r="S4" s="500"/>
      <c r="T4" s="500"/>
      <c r="U4" s="516"/>
      <c r="V4" s="524"/>
      <c r="W4" s="522"/>
      <c r="X4" s="505" t="s">
        <v>43</v>
      </c>
      <c r="Y4" s="507" t="s">
        <v>44</v>
      </c>
      <c r="Z4" s="509" t="s">
        <v>45</v>
      </c>
      <c r="AB4" s="567"/>
      <c r="AC4" s="518"/>
      <c r="AD4" s="500"/>
      <c r="AE4" s="500"/>
      <c r="AF4" s="500"/>
      <c r="AG4" s="500"/>
      <c r="AH4" s="516"/>
      <c r="AI4" s="524"/>
      <c r="AJ4" s="522"/>
      <c r="AK4" s="505" t="s">
        <v>43</v>
      </c>
      <c r="AL4" s="507" t="s">
        <v>44</v>
      </c>
      <c r="AM4" s="509" t="s">
        <v>45</v>
      </c>
      <c r="AO4" s="205"/>
      <c r="AP4" s="518"/>
      <c r="AQ4" s="500"/>
      <c r="AR4" s="500"/>
      <c r="AS4" s="500"/>
      <c r="AT4" s="500"/>
      <c r="AU4" s="516"/>
      <c r="AV4" s="524"/>
      <c r="AW4" s="522"/>
      <c r="AX4" s="505" t="s">
        <v>43</v>
      </c>
      <c r="AY4" s="507" t="s">
        <v>44</v>
      </c>
      <c r="AZ4" s="509" t="s">
        <v>45</v>
      </c>
      <c r="BB4" s="555"/>
      <c r="BC4" s="518"/>
      <c r="BD4" s="500"/>
      <c r="BE4" s="500"/>
      <c r="BF4" s="500"/>
      <c r="BG4" s="500"/>
      <c r="BH4" s="516"/>
      <c r="BI4" s="524"/>
      <c r="BJ4" s="522"/>
      <c r="BK4" s="505" t="s">
        <v>43</v>
      </c>
      <c r="BL4" s="507" t="s">
        <v>44</v>
      </c>
      <c r="BM4" s="509" t="s">
        <v>45</v>
      </c>
      <c r="BO4" s="632"/>
      <c r="BP4" s="518"/>
      <c r="BQ4" s="500"/>
      <c r="BR4" s="500"/>
      <c r="BS4" s="500"/>
      <c r="BT4" s="500"/>
      <c r="BU4" s="516"/>
      <c r="BV4" s="524"/>
      <c r="BW4" s="522"/>
      <c r="BX4" s="505" t="s">
        <v>43</v>
      </c>
      <c r="BY4" s="507" t="s">
        <v>44</v>
      </c>
      <c r="BZ4" s="509" t="s">
        <v>45</v>
      </c>
      <c r="CB4" s="598"/>
      <c r="CC4" s="518"/>
      <c r="CD4" s="500"/>
      <c r="CE4" s="500"/>
      <c r="CF4" s="500"/>
      <c r="CG4" s="500"/>
      <c r="CH4" s="516"/>
      <c r="CI4" s="524"/>
      <c r="CJ4" s="522"/>
      <c r="CK4" s="505" t="s">
        <v>43</v>
      </c>
      <c r="CL4" s="507" t="s">
        <v>44</v>
      </c>
      <c r="CM4" s="509" t="s">
        <v>45</v>
      </c>
      <c r="CO4" s="601"/>
      <c r="CP4" s="518"/>
      <c r="CQ4" s="500"/>
      <c r="CR4" s="500"/>
      <c r="CS4" s="500"/>
      <c r="CT4" s="500"/>
      <c r="CU4" s="516"/>
      <c r="CV4" s="524"/>
      <c r="CW4" s="522"/>
      <c r="CX4" s="505" t="s">
        <v>43</v>
      </c>
      <c r="CY4" s="507" t="s">
        <v>44</v>
      </c>
      <c r="CZ4" s="509" t="s">
        <v>45</v>
      </c>
      <c r="DB4" s="607"/>
      <c r="DC4" s="518"/>
      <c r="DD4" s="500"/>
      <c r="DE4" s="500"/>
      <c r="DF4" s="500"/>
      <c r="DG4" s="500"/>
      <c r="DH4" s="516"/>
      <c r="DI4" s="524"/>
      <c r="DJ4" s="522"/>
      <c r="DK4" s="505" t="s">
        <v>43</v>
      </c>
      <c r="DL4" s="507" t="s">
        <v>44</v>
      </c>
      <c r="DM4" s="509" t="s">
        <v>45</v>
      </c>
      <c r="DO4" s="610"/>
      <c r="DP4" s="518"/>
      <c r="DQ4" s="500"/>
      <c r="DR4" s="500"/>
      <c r="DS4" s="500"/>
      <c r="DT4" s="500"/>
      <c r="DU4" s="516"/>
      <c r="DV4" s="524"/>
      <c r="DW4" s="522"/>
      <c r="DX4" s="505" t="s">
        <v>43</v>
      </c>
      <c r="DY4" s="507" t="s">
        <v>44</v>
      </c>
      <c r="DZ4" s="509" t="s">
        <v>45</v>
      </c>
      <c r="EB4" s="206"/>
      <c r="EC4" s="518"/>
      <c r="ED4" s="500"/>
      <c r="EE4" s="500"/>
      <c r="EF4" s="500"/>
      <c r="EG4" s="500"/>
      <c r="EH4" s="516"/>
      <c r="EI4" s="524"/>
      <c r="EJ4" s="522"/>
      <c r="EK4" s="505" t="s">
        <v>43</v>
      </c>
      <c r="EL4" s="507" t="s">
        <v>44</v>
      </c>
      <c r="EM4" s="509" t="s">
        <v>45</v>
      </c>
      <c r="EO4" s="207"/>
      <c r="EP4" s="518"/>
      <c r="EQ4" s="500"/>
      <c r="ER4" s="500"/>
      <c r="ES4" s="500"/>
      <c r="ET4" s="500"/>
      <c r="EU4" s="516"/>
      <c r="EV4" s="524"/>
      <c r="EW4" s="522"/>
      <c r="EX4" s="505" t="s">
        <v>43</v>
      </c>
      <c r="EY4" s="507" t="s">
        <v>44</v>
      </c>
      <c r="EZ4" s="509" t="s">
        <v>45</v>
      </c>
      <c r="FA4" s="201"/>
    </row>
    <row r="5" spans="1:157" s="208" customFormat="1" ht="13.5" customHeight="1" thickBot="1">
      <c r="A5" s="767"/>
      <c r="B5" s="578"/>
      <c r="C5" s="519"/>
      <c r="D5" s="501"/>
      <c r="E5" s="501"/>
      <c r="F5" s="501"/>
      <c r="G5" s="501"/>
      <c r="H5" s="584"/>
      <c r="I5" s="525"/>
      <c r="J5" s="581"/>
      <c r="K5" s="506"/>
      <c r="L5" s="508"/>
      <c r="M5" s="510"/>
      <c r="N5" s="768"/>
      <c r="O5" s="587"/>
      <c r="P5" s="519"/>
      <c r="Q5" s="501"/>
      <c r="R5" s="501"/>
      <c r="S5" s="501"/>
      <c r="T5" s="501"/>
      <c r="U5" s="517"/>
      <c r="V5" s="525"/>
      <c r="W5" s="523"/>
      <c r="X5" s="506"/>
      <c r="Y5" s="508"/>
      <c r="Z5" s="510"/>
      <c r="AA5" s="769"/>
      <c r="AB5" s="568"/>
      <c r="AC5" s="519"/>
      <c r="AD5" s="501"/>
      <c r="AE5" s="501"/>
      <c r="AF5" s="501"/>
      <c r="AG5" s="501"/>
      <c r="AH5" s="517"/>
      <c r="AI5" s="525"/>
      <c r="AJ5" s="523"/>
      <c r="AK5" s="506"/>
      <c r="AL5" s="508"/>
      <c r="AM5" s="510"/>
      <c r="AN5" s="770"/>
      <c r="AO5" s="771"/>
      <c r="AP5" s="519"/>
      <c r="AQ5" s="501"/>
      <c r="AR5" s="501"/>
      <c r="AS5" s="501"/>
      <c r="AT5" s="501"/>
      <c r="AU5" s="517"/>
      <c r="AV5" s="525"/>
      <c r="AW5" s="523"/>
      <c r="AX5" s="506"/>
      <c r="AY5" s="508"/>
      <c r="AZ5" s="510"/>
      <c r="BA5" s="772"/>
      <c r="BB5" s="556"/>
      <c r="BC5" s="519"/>
      <c r="BD5" s="501"/>
      <c r="BE5" s="501"/>
      <c r="BF5" s="501"/>
      <c r="BG5" s="501"/>
      <c r="BH5" s="517"/>
      <c r="BI5" s="525"/>
      <c r="BJ5" s="523"/>
      <c r="BK5" s="506"/>
      <c r="BL5" s="508"/>
      <c r="BM5" s="510"/>
      <c r="BN5" s="770"/>
      <c r="BO5" s="633"/>
      <c r="BP5" s="519"/>
      <c r="BQ5" s="501"/>
      <c r="BR5" s="501"/>
      <c r="BS5" s="501"/>
      <c r="BT5" s="501"/>
      <c r="BU5" s="517"/>
      <c r="BV5" s="525"/>
      <c r="BW5" s="523"/>
      <c r="BX5" s="506"/>
      <c r="BY5" s="508"/>
      <c r="BZ5" s="510"/>
      <c r="CA5" s="772"/>
      <c r="CB5" s="599"/>
      <c r="CC5" s="519"/>
      <c r="CD5" s="501"/>
      <c r="CE5" s="501"/>
      <c r="CF5" s="501"/>
      <c r="CG5" s="501"/>
      <c r="CH5" s="517"/>
      <c r="CI5" s="525"/>
      <c r="CJ5" s="523"/>
      <c r="CK5" s="506"/>
      <c r="CL5" s="508"/>
      <c r="CM5" s="510"/>
      <c r="CN5" s="770"/>
      <c r="CO5" s="602"/>
      <c r="CP5" s="519"/>
      <c r="CQ5" s="501"/>
      <c r="CR5" s="501"/>
      <c r="CS5" s="501"/>
      <c r="CT5" s="501"/>
      <c r="CU5" s="517"/>
      <c r="CV5" s="525"/>
      <c r="CW5" s="523"/>
      <c r="CX5" s="506"/>
      <c r="CY5" s="508"/>
      <c r="CZ5" s="510"/>
      <c r="DA5" s="772"/>
      <c r="DB5" s="608"/>
      <c r="DC5" s="519"/>
      <c r="DD5" s="501"/>
      <c r="DE5" s="501"/>
      <c r="DF5" s="501"/>
      <c r="DG5" s="501"/>
      <c r="DH5" s="517"/>
      <c r="DI5" s="525"/>
      <c r="DJ5" s="523"/>
      <c r="DK5" s="506"/>
      <c r="DL5" s="508"/>
      <c r="DM5" s="510"/>
      <c r="DN5" s="773"/>
      <c r="DO5" s="611"/>
      <c r="DP5" s="519"/>
      <c r="DQ5" s="501"/>
      <c r="DR5" s="501"/>
      <c r="DS5" s="501"/>
      <c r="DT5" s="501"/>
      <c r="DU5" s="517"/>
      <c r="DV5" s="525"/>
      <c r="DW5" s="523"/>
      <c r="DX5" s="506"/>
      <c r="DY5" s="508"/>
      <c r="DZ5" s="510"/>
      <c r="EA5" s="770"/>
      <c r="EB5" s="774"/>
      <c r="EC5" s="519"/>
      <c r="ED5" s="501"/>
      <c r="EE5" s="501"/>
      <c r="EF5" s="501"/>
      <c r="EG5" s="501"/>
      <c r="EH5" s="517"/>
      <c r="EI5" s="525"/>
      <c r="EJ5" s="523"/>
      <c r="EK5" s="506"/>
      <c r="EL5" s="508"/>
      <c r="EM5" s="510"/>
      <c r="EN5" s="770"/>
      <c r="EO5" s="775"/>
      <c r="EP5" s="519"/>
      <c r="EQ5" s="501"/>
      <c r="ER5" s="501"/>
      <c r="ES5" s="501"/>
      <c r="ET5" s="501"/>
      <c r="EU5" s="517"/>
      <c r="EV5" s="525"/>
      <c r="EW5" s="523"/>
      <c r="EX5" s="506"/>
      <c r="EY5" s="508"/>
      <c r="EZ5" s="510"/>
      <c r="FA5" s="776"/>
    </row>
    <row r="6" spans="1:157" s="208" customFormat="1" ht="15" customHeight="1">
      <c r="A6" s="777"/>
      <c r="B6" s="778"/>
      <c r="C6" s="408" t="s">
        <v>46</v>
      </c>
      <c r="D6" s="386">
        <f>BudgetedData!B2</f>
        <v>52131</v>
      </c>
      <c r="E6" s="447">
        <f>Data!C2</f>
        <v>52245.909999999996</v>
      </c>
      <c r="F6" s="447">
        <f>Data!D2</f>
        <v>507.33342999999991</v>
      </c>
      <c r="G6" s="447">
        <f>Data!E2</f>
        <v>841.45000000000016</v>
      </c>
      <c r="H6" s="152">
        <f t="shared" ref="H6:H26" si="0">+E6+F6-G6</f>
        <v>51911.793429999998</v>
      </c>
      <c r="I6" s="779">
        <f t="shared" ref="I6" si="1">IF(E6=0,"-",H6/E6)</f>
        <v>0.99360492390696231</v>
      </c>
      <c r="J6" s="779">
        <f>IF(ISERROR(G6/E6),"-",G6/E6)</f>
        <v>1.6105566923803227E-2</v>
      </c>
      <c r="K6" s="770">
        <f t="shared" ref="K6" si="2">D6-E6</f>
        <v>-114.90999999999622</v>
      </c>
      <c r="L6" s="772">
        <f t="shared" ref="L6" si="3">E6-H6</f>
        <v>334.11656999999832</v>
      </c>
      <c r="M6" s="780">
        <f t="shared" ref="M6" si="4">D6-H6</f>
        <v>219.2065700000021</v>
      </c>
      <c r="N6" s="781"/>
      <c r="O6" s="782"/>
      <c r="P6" s="408" t="s">
        <v>46</v>
      </c>
      <c r="Q6" s="438">
        <f>BudgetedData!C2</f>
        <v>52522</v>
      </c>
      <c r="R6" s="419">
        <f>Data!C22</f>
        <v>52168.39</v>
      </c>
      <c r="S6" s="447">
        <f>Data!D22</f>
        <v>507.39987000000002</v>
      </c>
      <c r="T6" s="419">
        <f>Data!E22</f>
        <v>826.83333333333326</v>
      </c>
      <c r="U6" s="152">
        <f t="shared" ref="U6:U26" si="5">+R6+S6-T6</f>
        <v>51848.956536666665</v>
      </c>
      <c r="V6" s="779">
        <f t="shared" ref="V6" si="6">IF(R6=0,"-",U6/R6)</f>
        <v>0.99387687710252637</v>
      </c>
      <c r="W6" s="779">
        <f>IF(ISERROR(T6/R6),"-",T6/R6)</f>
        <v>1.5849316671136166E-2</v>
      </c>
      <c r="X6" s="770">
        <f t="shared" ref="X6" si="7">Q6-R6</f>
        <v>353.61000000000058</v>
      </c>
      <c r="Y6" s="772">
        <f t="shared" ref="Y6" si="8">R6-U6</f>
        <v>319.43346333333466</v>
      </c>
      <c r="Z6" s="780">
        <f t="shared" ref="Z6" si="9">Q6-U6</f>
        <v>673.04346333333524</v>
      </c>
      <c r="AA6" s="781"/>
      <c r="AB6" s="783"/>
      <c r="AC6" s="408" t="s">
        <v>46</v>
      </c>
      <c r="AD6" s="447">
        <f>BudgetedData!D2</f>
        <v>49554</v>
      </c>
      <c r="AE6" s="447">
        <f>Data!C42</f>
        <v>46392.219999999994</v>
      </c>
      <c r="AF6" s="447">
        <f>Data!D42</f>
        <v>515.01674000000014</v>
      </c>
      <c r="AG6" s="447">
        <f>Data!E42</f>
        <v>1277.9166666666665</v>
      </c>
      <c r="AH6" s="152">
        <f t="shared" ref="AH6:AH26" si="10">+AE6+AF6-AG6</f>
        <v>45629.320073333329</v>
      </c>
      <c r="AI6" s="779">
        <f t="shared" ref="AI6:AI20" si="11">IF(AE6=0,"-",AH6/AE6)</f>
        <v>0.98355543393554645</v>
      </c>
      <c r="AJ6" s="779">
        <f>IF(ISERROR(AG6/AE6),"-",AG6/AE6)</f>
        <v>2.7545926163194318E-2</v>
      </c>
      <c r="AK6" s="770">
        <f t="shared" ref="AK6" si="12">AD6-AE6</f>
        <v>3161.7800000000061</v>
      </c>
      <c r="AL6" s="772">
        <f t="shared" ref="AL6" si="13">AE6-AH6</f>
        <v>762.89992666666512</v>
      </c>
      <c r="AM6" s="780">
        <f t="shared" ref="AM6" si="14">AD6-AH6</f>
        <v>3924.6799266666712</v>
      </c>
      <c r="AN6" s="781"/>
      <c r="AO6" s="784"/>
      <c r="AP6" s="408" t="s">
        <v>46</v>
      </c>
      <c r="AQ6" s="447">
        <f>BudgetedData!E2</f>
        <v>51398</v>
      </c>
      <c r="AR6" s="447">
        <f>Data!C62</f>
        <v>49265.130000000005</v>
      </c>
      <c r="AS6" s="447">
        <f>Data!D62</f>
        <v>572.20013000000006</v>
      </c>
      <c r="AT6" s="447">
        <f>Data!E62</f>
        <v>1392.1168</v>
      </c>
      <c r="AU6" s="152">
        <f>+AR6+AS6-AT6</f>
        <v>48445.213329999999</v>
      </c>
      <c r="AV6" s="779">
        <f t="shared" ref="AV6:AV26" si="15">IF(AR6=0,"-",AU6/AR6)</f>
        <v>0.98335705863356082</v>
      </c>
      <c r="AW6" s="779">
        <f>IF(ISERROR(AT6/AR6),"-",AT6/AR6)</f>
        <v>2.8257649984887889E-2</v>
      </c>
      <c r="AX6" s="770">
        <f t="shared" ref="AX6" si="16">AQ6-AR6</f>
        <v>2132.8699999999953</v>
      </c>
      <c r="AY6" s="772">
        <f t="shared" ref="AY6" si="17">AR6-AU6</f>
        <v>819.91667000000598</v>
      </c>
      <c r="AZ6" s="780">
        <f t="shared" ref="AZ6" si="18">AQ6-AU6</f>
        <v>2952.7866700000013</v>
      </c>
      <c r="BA6" s="785"/>
      <c r="BB6" s="786"/>
      <c r="BC6" s="408" t="s">
        <v>46</v>
      </c>
      <c r="BD6" s="447">
        <f>BudgetedData!F2</f>
        <v>49945</v>
      </c>
      <c r="BE6" s="447">
        <f>Data!C82</f>
        <v>0</v>
      </c>
      <c r="BF6" s="447">
        <f>Data!D82</f>
        <v>0</v>
      </c>
      <c r="BG6" s="447">
        <f>Data!E82</f>
        <v>0</v>
      </c>
      <c r="BH6" s="152">
        <f t="shared" ref="BH6:BH26" si="19">+BE6+BF6-BG6</f>
        <v>0</v>
      </c>
      <c r="BI6" s="779" t="str">
        <f t="shared" ref="BI6" si="20">IF(BE6=0,"-",BH6/BE6)</f>
        <v>-</v>
      </c>
      <c r="BJ6" s="779" t="str">
        <f>IF(ISERROR(BG6/BE6),"-",BG6/BE6)</f>
        <v>-</v>
      </c>
      <c r="BK6" s="770">
        <f t="shared" ref="BK6" si="21">BD6-BE6</f>
        <v>49945</v>
      </c>
      <c r="BL6" s="772">
        <f t="shared" ref="BL6" si="22">BE6-BH6</f>
        <v>0</v>
      </c>
      <c r="BM6" s="780">
        <f t="shared" ref="BM6" si="23">BD6-BH6</f>
        <v>49945</v>
      </c>
      <c r="BN6" s="785"/>
      <c r="BO6" s="787"/>
      <c r="BP6" s="408" t="s">
        <v>46</v>
      </c>
      <c r="BQ6" s="447">
        <f>BudgetedData!G2</f>
        <v>51398</v>
      </c>
      <c r="BR6" s="447">
        <f>Data!C102</f>
        <v>0</v>
      </c>
      <c r="BS6" s="447">
        <f>Data!D102</f>
        <v>0</v>
      </c>
      <c r="BT6" s="447">
        <f>Data!E102</f>
        <v>0</v>
      </c>
      <c r="BU6" s="152">
        <f t="shared" ref="BU6:BU26" si="24">+BR6+BS6-BT6</f>
        <v>0</v>
      </c>
      <c r="BV6" s="779" t="str">
        <f t="shared" ref="BV6" si="25">IF(BR6=0,"-",BU6/BR6)</f>
        <v>-</v>
      </c>
      <c r="BW6" s="779" t="str">
        <f>IF(ISERROR(BT6/BR6),"-",BT6/BR6)</f>
        <v>-</v>
      </c>
      <c r="BX6" s="770">
        <f t="shared" ref="BX6" si="26">BQ6-BR6</f>
        <v>51398</v>
      </c>
      <c r="BY6" s="772">
        <f t="shared" ref="BY6" si="27">BR6-BU6</f>
        <v>0</v>
      </c>
      <c r="BZ6" s="780">
        <f t="shared" ref="BZ6" si="28">BQ6-BU6</f>
        <v>51398</v>
      </c>
      <c r="CA6" s="785"/>
      <c r="CB6" s="788"/>
      <c r="CC6" s="408" t="s">
        <v>46</v>
      </c>
      <c r="CD6" s="447">
        <f>BudgetedData!H2</f>
        <v>51398</v>
      </c>
      <c r="CE6" s="447">
        <f>Data!C122</f>
        <v>0</v>
      </c>
      <c r="CF6" s="447">
        <f>Data!D122</f>
        <v>0</v>
      </c>
      <c r="CG6" s="447">
        <f>Data!E122</f>
        <v>0</v>
      </c>
      <c r="CH6" s="152">
        <f t="shared" ref="CH6:CH26" si="29">+CE6+CF6-CG6</f>
        <v>0</v>
      </c>
      <c r="CI6" s="779" t="str">
        <f t="shared" ref="CI6" si="30">IF(CE6=0,"-",CH6/CE6)</f>
        <v>-</v>
      </c>
      <c r="CJ6" s="779" t="str">
        <f>IF(ISERROR(CG6/CE6),"-",CG6/CE6)</f>
        <v>-</v>
      </c>
      <c r="CK6" s="770">
        <f t="shared" ref="CK6" si="31">CD6-CE6</f>
        <v>51398</v>
      </c>
      <c r="CL6" s="772">
        <f t="shared" ref="CL6" si="32">CE6-CH6</f>
        <v>0</v>
      </c>
      <c r="CM6" s="780">
        <f t="shared" ref="CM6" si="33">CD6-CH6</f>
        <v>51398</v>
      </c>
      <c r="CN6" s="785"/>
      <c r="CO6" s="789"/>
      <c r="CP6" s="408" t="s">
        <v>46</v>
      </c>
      <c r="CQ6" s="447">
        <f>BudgetedData!I2</f>
        <v>48834</v>
      </c>
      <c r="CR6" s="447">
        <f>Data!C142</f>
        <v>0</v>
      </c>
      <c r="CS6" s="447">
        <f>Data!D142</f>
        <v>0</v>
      </c>
      <c r="CT6" s="447">
        <f>Data!E142</f>
        <v>0</v>
      </c>
      <c r="CU6" s="152">
        <f t="shared" ref="CU6:CU26" si="34">+CR6+CS6-CT6</f>
        <v>0</v>
      </c>
      <c r="CV6" s="779" t="str">
        <f t="shared" ref="CV6" si="35">IF(CR6=0,"-",CU6/CR6)</f>
        <v>-</v>
      </c>
      <c r="CW6" s="779" t="str">
        <f>IF(ISERROR(CT6/CR6),"-",CT6/CR6)</f>
        <v>-</v>
      </c>
      <c r="CX6" s="770">
        <f t="shared" ref="CX6" si="36">CQ6-CR6</f>
        <v>48834</v>
      </c>
      <c r="CY6" s="772">
        <f t="shared" ref="CY6" si="37">CR6-CU6</f>
        <v>0</v>
      </c>
      <c r="CZ6" s="780">
        <f t="shared" ref="CZ6" si="38">CQ6-CU6</f>
        <v>48834</v>
      </c>
      <c r="DA6" s="785"/>
      <c r="DB6" s="790"/>
      <c r="DC6" s="408" t="s">
        <v>46</v>
      </c>
      <c r="DD6" s="447">
        <f>BudgetedData!J2</f>
        <v>52131</v>
      </c>
      <c r="DE6" s="447">
        <f>Data!C162</f>
        <v>0</v>
      </c>
      <c r="DF6" s="447">
        <f>Data!D162</f>
        <v>0</v>
      </c>
      <c r="DG6" s="447">
        <f>Data!E162</f>
        <v>0</v>
      </c>
      <c r="DH6" s="152">
        <f>+DE6+DF6-DG6</f>
        <v>0</v>
      </c>
      <c r="DI6" s="779" t="str">
        <f>IF(DE6=0,"-",DH6/DE6)</f>
        <v>-</v>
      </c>
      <c r="DJ6" s="779" t="str">
        <f>IF(ISERROR(DG6/DE6),"-",DG6/DE6)</f>
        <v>-</v>
      </c>
      <c r="DK6" s="770">
        <f>DD6-DE6</f>
        <v>52131</v>
      </c>
      <c r="DL6" s="772">
        <f>DE6-DH6</f>
        <v>0</v>
      </c>
      <c r="DM6" s="780">
        <f t="shared" ref="DM6" si="39">DD6-DH6</f>
        <v>52131</v>
      </c>
      <c r="DN6" s="785"/>
      <c r="DO6" s="791"/>
      <c r="DP6" s="408" t="s">
        <v>46</v>
      </c>
      <c r="DQ6" s="447">
        <f>BudgetedData!K2</f>
        <v>51020</v>
      </c>
      <c r="DR6" s="447">
        <f>Data!C182</f>
        <v>0</v>
      </c>
      <c r="DS6" s="447">
        <f>Data!D182</f>
        <v>0</v>
      </c>
      <c r="DT6" s="447">
        <f>Data!E182</f>
        <v>0</v>
      </c>
      <c r="DU6" s="152">
        <f t="shared" ref="DU6:DU26" si="40">+DR6+DS6-DT6</f>
        <v>0</v>
      </c>
      <c r="DV6" s="779" t="str">
        <f t="shared" ref="DV6" si="41">IF(DR6=0,"-",DU6/DR6)</f>
        <v>-</v>
      </c>
      <c r="DW6" s="779" t="str">
        <f>IF(ISERROR(DT6/DR6),"-",DT6/DR6)</f>
        <v>-</v>
      </c>
      <c r="DX6" s="770">
        <f t="shared" ref="DX6" si="42">DQ6-DR6</f>
        <v>51020</v>
      </c>
      <c r="DY6" s="772">
        <f t="shared" ref="DY6" si="43">DR6-DU6</f>
        <v>0</v>
      </c>
      <c r="DZ6" s="780">
        <f t="shared" ref="DZ6" si="44">DQ6-DU6</f>
        <v>51020</v>
      </c>
      <c r="EA6" s="785"/>
      <c r="EB6" s="429"/>
      <c r="EC6" s="408" t="s">
        <v>46</v>
      </c>
      <c r="ED6" s="447">
        <f>BudgetedData!L2</f>
        <v>51056</v>
      </c>
      <c r="EE6" s="447">
        <f>Data!C202</f>
        <v>0</v>
      </c>
      <c r="EF6" s="447">
        <f>Data!D202</f>
        <v>0</v>
      </c>
      <c r="EG6" s="447">
        <f>Data!E202</f>
        <v>0</v>
      </c>
      <c r="EH6" s="152">
        <f t="shared" ref="EH6:EH26" si="45">+EE6+EF6-EG6</f>
        <v>0</v>
      </c>
      <c r="EI6" s="779" t="str">
        <f t="shared" ref="EI6" si="46">IF(EE6=0,"-",EH6/EE6)</f>
        <v>-</v>
      </c>
      <c r="EJ6" s="779" t="str">
        <f>IF(ISERROR(EG6/EE6),"-",EG6/EE6)</f>
        <v>-</v>
      </c>
      <c r="EK6" s="770">
        <f t="shared" ref="EK6" si="47">ED6-EE6</f>
        <v>51056</v>
      </c>
      <c r="EL6" s="772">
        <f t="shared" ref="EL6" si="48">EE6-EH6</f>
        <v>0</v>
      </c>
      <c r="EM6" s="780">
        <f t="shared" ref="EM6" si="49">ED6-EH6</f>
        <v>51056</v>
      </c>
      <c r="EN6" s="781"/>
      <c r="EO6" s="792"/>
      <c r="EP6" s="408" t="s">
        <v>46</v>
      </c>
      <c r="EQ6" s="447">
        <f>BudgetedData!M2</f>
        <v>51020</v>
      </c>
      <c r="ER6" s="447">
        <f>Data!C222</f>
        <v>0</v>
      </c>
      <c r="ES6" s="447">
        <f>Data!D222</f>
        <v>0</v>
      </c>
      <c r="ET6" s="447">
        <f>Data!E222</f>
        <v>0</v>
      </c>
      <c r="EU6" s="152">
        <f t="shared" ref="EU6:EU26" si="50">+ER6+ES6-ET6</f>
        <v>0</v>
      </c>
      <c r="EV6" s="779" t="str">
        <f t="shared" ref="EV6" si="51">IF(ER6=0,"-",EU6/ER6)</f>
        <v>-</v>
      </c>
      <c r="EW6" s="779" t="str">
        <f>IF(ISERROR(ET6/ER6),"-",ET6/ER6)</f>
        <v>-</v>
      </c>
      <c r="EX6" s="770">
        <f t="shared" ref="EX6" si="52">EQ6-ER6</f>
        <v>51020</v>
      </c>
      <c r="EY6" s="772">
        <f t="shared" ref="EY6" si="53">ER6-EU6</f>
        <v>0</v>
      </c>
      <c r="EZ6" s="780">
        <f t="shared" ref="EZ6" si="54">EQ6-EU6</f>
        <v>51020</v>
      </c>
      <c r="FA6" s="776"/>
    </row>
    <row r="7" spans="1:157" s="208" customFormat="1" ht="15" customHeight="1">
      <c r="A7" s="777"/>
      <c r="B7" s="778"/>
      <c r="C7" s="408"/>
      <c r="D7" s="386"/>
      <c r="E7" s="447"/>
      <c r="F7" s="447"/>
      <c r="G7" s="447"/>
      <c r="H7" s="152"/>
      <c r="I7" s="779"/>
      <c r="J7" s="779"/>
      <c r="K7" s="770"/>
      <c r="L7" s="772"/>
      <c r="M7" s="780"/>
      <c r="N7" s="781"/>
      <c r="O7" s="793"/>
      <c r="P7" s="408"/>
      <c r="Q7" s="439"/>
      <c r="R7" s="419"/>
      <c r="S7" s="447"/>
      <c r="T7" s="419"/>
      <c r="U7" s="152"/>
      <c r="V7" s="779"/>
      <c r="W7" s="779"/>
      <c r="X7" s="770"/>
      <c r="Y7" s="772"/>
      <c r="Z7" s="780"/>
      <c r="AA7" s="781"/>
      <c r="AB7" s="783"/>
      <c r="AC7" s="408"/>
      <c r="AD7" s="447"/>
      <c r="AE7" s="447"/>
      <c r="AF7" s="447"/>
      <c r="AG7" s="447"/>
      <c r="AH7" s="152"/>
      <c r="AI7" s="779"/>
      <c r="AJ7" s="779"/>
      <c r="AK7" s="770"/>
      <c r="AL7" s="772"/>
      <c r="AM7" s="780"/>
      <c r="AN7" s="781"/>
      <c r="AO7" s="784"/>
      <c r="AP7" s="408"/>
      <c r="AQ7" s="447"/>
      <c r="AR7" s="447"/>
      <c r="AS7" s="447"/>
      <c r="AT7" s="447"/>
      <c r="AU7" s="152"/>
      <c r="AV7" s="779"/>
      <c r="AW7" s="779"/>
      <c r="AX7" s="770"/>
      <c r="AY7" s="772"/>
      <c r="AZ7" s="780"/>
      <c r="BA7" s="785"/>
      <c r="BB7" s="786"/>
      <c r="BC7" s="408"/>
      <c r="BD7" s="447"/>
      <c r="BE7" s="447"/>
      <c r="BF7" s="447"/>
      <c r="BG7" s="447"/>
      <c r="BH7" s="152"/>
      <c r="BI7" s="779"/>
      <c r="BJ7" s="779"/>
      <c r="BK7" s="770"/>
      <c r="BL7" s="772"/>
      <c r="BM7" s="780"/>
      <c r="BN7" s="785"/>
      <c r="BO7" s="787"/>
      <c r="BP7" s="408"/>
      <c r="BQ7" s="447"/>
      <c r="BR7" s="447"/>
      <c r="BS7" s="447"/>
      <c r="BT7" s="447"/>
      <c r="BU7" s="152"/>
      <c r="BV7" s="779"/>
      <c r="BW7" s="779"/>
      <c r="BX7" s="770"/>
      <c r="BY7" s="772"/>
      <c r="BZ7" s="780"/>
      <c r="CA7" s="785"/>
      <c r="CB7" s="794"/>
      <c r="CC7" s="408"/>
      <c r="CD7" s="447"/>
      <c r="CE7" s="447"/>
      <c r="CF7" s="447"/>
      <c r="CG7" s="447"/>
      <c r="CH7" s="152"/>
      <c r="CI7" s="779"/>
      <c r="CJ7" s="779"/>
      <c r="CK7" s="770"/>
      <c r="CL7" s="772"/>
      <c r="CM7" s="780"/>
      <c r="CN7" s="785"/>
      <c r="CO7" s="789"/>
      <c r="CP7" s="408"/>
      <c r="CQ7" s="447"/>
      <c r="CR7" s="447"/>
      <c r="CS7" s="447"/>
      <c r="CT7" s="447"/>
      <c r="CU7" s="152"/>
      <c r="CV7" s="779"/>
      <c r="CW7" s="779"/>
      <c r="CX7" s="770"/>
      <c r="CY7" s="772"/>
      <c r="CZ7" s="780"/>
      <c r="DA7" s="785"/>
      <c r="DB7" s="790"/>
      <c r="DC7" s="408"/>
      <c r="DD7" s="447"/>
      <c r="DE7" s="447"/>
      <c r="DF7" s="447"/>
      <c r="DG7" s="447"/>
      <c r="DH7" s="152"/>
      <c r="DI7" s="779"/>
      <c r="DJ7" s="779"/>
      <c r="DK7" s="770"/>
      <c r="DL7" s="772"/>
      <c r="DM7" s="780"/>
      <c r="DN7" s="785"/>
      <c r="DO7" s="791"/>
      <c r="DP7" s="408"/>
      <c r="DQ7" s="447"/>
      <c r="DR7" s="447"/>
      <c r="DS7" s="447"/>
      <c r="DT7" s="447"/>
      <c r="DU7" s="152"/>
      <c r="DV7" s="779"/>
      <c r="DW7" s="779"/>
      <c r="DX7" s="770"/>
      <c r="DY7" s="772"/>
      <c r="DZ7" s="780"/>
      <c r="EA7" s="785"/>
      <c r="EB7" s="429"/>
      <c r="EC7" s="408"/>
      <c r="ED7" s="447"/>
      <c r="EE7" s="447"/>
      <c r="EF7" s="447"/>
      <c r="EG7" s="447"/>
      <c r="EH7" s="152"/>
      <c r="EI7" s="779"/>
      <c r="EJ7" s="779"/>
      <c r="EK7" s="770"/>
      <c r="EL7" s="772"/>
      <c r="EM7" s="780"/>
      <c r="EN7" s="781"/>
      <c r="EO7" s="792"/>
      <c r="EP7" s="408"/>
      <c r="EQ7" s="447"/>
      <c r="ER7" s="447"/>
      <c r="ES7" s="447"/>
      <c r="ET7" s="447"/>
      <c r="EU7" s="152"/>
      <c r="EV7" s="779"/>
      <c r="EW7" s="779"/>
      <c r="EX7" s="770"/>
      <c r="EY7" s="772"/>
      <c r="EZ7" s="780"/>
      <c r="FA7" s="776"/>
    </row>
    <row r="8" spans="1:157" s="208" customFormat="1" ht="15" customHeight="1">
      <c r="A8" s="777"/>
      <c r="B8" s="778"/>
      <c r="C8" s="408" t="s">
        <v>47</v>
      </c>
      <c r="D8" s="386">
        <f>BudgetedData!B3</f>
        <v>45037</v>
      </c>
      <c r="E8" s="447">
        <f>Data!C3</f>
        <v>44743.450000000004</v>
      </c>
      <c r="F8" s="447">
        <f>Data!D3</f>
        <v>568.51690000000008</v>
      </c>
      <c r="G8" s="447">
        <f>Data!E3</f>
        <v>999.4</v>
      </c>
      <c r="H8" s="152">
        <f t="shared" si="0"/>
        <v>44312.566900000005</v>
      </c>
      <c r="I8" s="779">
        <f t="shared" ref="I8:I26" si="55">IF(E8=0,"-",H8/E8)</f>
        <v>0.9903699178315486</v>
      </c>
      <c r="J8" s="779">
        <f t="shared" ref="J8:J26" si="56">IF(ISERROR(G8/E8),"-",G8/E8)</f>
        <v>2.2336230219171742E-2</v>
      </c>
      <c r="K8" s="770">
        <f t="shared" ref="K8:K26" si="57">D8-E8</f>
        <v>293.54999999999563</v>
      </c>
      <c r="L8" s="772">
        <f t="shared" ref="L8:L26" si="58">E8-H8</f>
        <v>430.8830999999991</v>
      </c>
      <c r="M8" s="780">
        <f t="shared" ref="M8:M26" si="59">D8-H8</f>
        <v>724.43309999999474</v>
      </c>
      <c r="N8" s="781"/>
      <c r="O8" s="793"/>
      <c r="P8" s="408" t="s">
        <v>47</v>
      </c>
      <c r="Q8" s="439">
        <f>BudgetedData!C3</f>
        <v>45318</v>
      </c>
      <c r="R8" s="419">
        <f>Data!C23</f>
        <v>45285.617000000006</v>
      </c>
      <c r="S8" s="447">
        <f>Data!D23</f>
        <v>706.19990000000018</v>
      </c>
      <c r="T8" s="419">
        <f>Data!E23</f>
        <v>940.78333333333353</v>
      </c>
      <c r="U8" s="152">
        <f t="shared" si="5"/>
        <v>45051.033566666672</v>
      </c>
      <c r="V8" s="779">
        <f t="shared" ref="V8:V26" si="60">IF(R8=0,"-",U8/R8)</f>
        <v>0.99481991305686901</v>
      </c>
      <c r="W8" s="779">
        <f t="shared" ref="W8:W26" si="61">IF(ISERROR(T8/R8),"-",T8/R8)</f>
        <v>2.0774440002293299E-2</v>
      </c>
      <c r="X8" s="770">
        <f t="shared" ref="X8:X26" si="62">Q8-R8</f>
        <v>32.382999999994354</v>
      </c>
      <c r="Y8" s="772">
        <f t="shared" ref="Y8:Y26" si="63">R8-U8</f>
        <v>234.58343333333323</v>
      </c>
      <c r="Z8" s="780">
        <f t="shared" ref="Z8:Z26" si="64">Q8-U8</f>
        <v>266.96643333332759</v>
      </c>
      <c r="AA8" s="781"/>
      <c r="AB8" s="783"/>
      <c r="AC8" s="408" t="s">
        <v>47</v>
      </c>
      <c r="AD8" s="447">
        <f>BudgetedData!D3</f>
        <v>42953</v>
      </c>
      <c r="AE8" s="447">
        <f>Data!C43</f>
        <v>42791.166999999994</v>
      </c>
      <c r="AF8" s="447">
        <f>Data!D43</f>
        <v>918.46667000000002</v>
      </c>
      <c r="AG8" s="447">
        <f>Data!E43</f>
        <v>928.31666666666649</v>
      </c>
      <c r="AH8" s="152">
        <f t="shared" si="10"/>
        <v>42781.31700333333</v>
      </c>
      <c r="AI8" s="779">
        <f t="shared" si="11"/>
        <v>0.99976981238519003</v>
      </c>
      <c r="AJ8" s="779">
        <f t="shared" ref="AJ8:AJ26" si="65">IF(ISERROR(AG8/AE8),"-",AG8/AE8)</f>
        <v>2.1694118944376221E-2</v>
      </c>
      <c r="AK8" s="770">
        <f t="shared" ref="AK8:AK26" si="66">AD8-AE8</f>
        <v>161.833000000006</v>
      </c>
      <c r="AL8" s="772">
        <f t="shared" ref="AL8:AL26" si="67">AE8-AH8</f>
        <v>9.849996666664083</v>
      </c>
      <c r="AM8" s="780">
        <f t="shared" ref="AM8:AM26" si="68">AD8-AH8</f>
        <v>171.68299666667008</v>
      </c>
      <c r="AN8" s="781"/>
      <c r="AO8" s="784"/>
      <c r="AP8" s="408" t="s">
        <v>47</v>
      </c>
      <c r="AQ8" s="447">
        <f>BudgetedData!E3</f>
        <v>44520</v>
      </c>
      <c r="AR8" s="447">
        <f>Data!C63</f>
        <v>45023.359999999993</v>
      </c>
      <c r="AS8" s="447">
        <f>Data!D63</f>
        <v>964.41653000000019</v>
      </c>
      <c r="AT8" s="447">
        <f>Data!E63</f>
        <v>1070.41653</v>
      </c>
      <c r="AU8" s="152">
        <f t="shared" ref="AU8:AU26" si="69">+AR8+AS8-AT8</f>
        <v>44917.359999999993</v>
      </c>
      <c r="AV8" s="779">
        <f t="shared" si="15"/>
        <v>0.99764566660506904</v>
      </c>
      <c r="AW8" s="779">
        <f t="shared" ref="AW8:AW26" si="70">IF(ISERROR(AT8/AR8),"-",AT8/AR8)</f>
        <v>2.3774692293067425E-2</v>
      </c>
      <c r="AX8" s="770">
        <f t="shared" ref="AX8:AX26" si="71">AQ8-AR8</f>
        <v>-503.35999999999331</v>
      </c>
      <c r="AY8" s="772">
        <f t="shared" ref="AY8:AY26" si="72">AR8-AU8</f>
        <v>106</v>
      </c>
      <c r="AZ8" s="780">
        <f t="shared" ref="AZ8:AZ26" si="73">AQ8-AU8</f>
        <v>-397.35999999999331</v>
      </c>
      <c r="BA8" s="785"/>
      <c r="BB8" s="786"/>
      <c r="BC8" s="408" t="s">
        <v>47</v>
      </c>
      <c r="BD8" s="447">
        <f>BudgetedData!F3</f>
        <v>43233</v>
      </c>
      <c r="BE8" s="447">
        <f>Data!C83</f>
        <v>0</v>
      </c>
      <c r="BF8" s="447">
        <f>Data!D83</f>
        <v>0</v>
      </c>
      <c r="BG8" s="447">
        <f>Data!E83</f>
        <v>0</v>
      </c>
      <c r="BH8" s="152">
        <f t="shared" si="19"/>
        <v>0</v>
      </c>
      <c r="BI8" s="779" t="str">
        <f t="shared" ref="BI8:BI26" si="74">IF(BE8=0,"-",BH8/BE8)</f>
        <v>-</v>
      </c>
      <c r="BJ8" s="779" t="str">
        <f t="shared" ref="BJ8:BJ26" si="75">IF(ISERROR(BG8/BE8),"-",BG8/BE8)</f>
        <v>-</v>
      </c>
      <c r="BK8" s="770">
        <f t="shared" ref="BK8:BK26" si="76">BD8-BE8</f>
        <v>43233</v>
      </c>
      <c r="BL8" s="772">
        <f t="shared" ref="BL8:BL26" si="77">BE8-BH8</f>
        <v>0</v>
      </c>
      <c r="BM8" s="780">
        <f t="shared" ref="BM8:BM26" si="78">BD8-BH8</f>
        <v>43233</v>
      </c>
      <c r="BN8" s="785"/>
      <c r="BO8" s="787"/>
      <c r="BP8" s="408" t="s">
        <v>47</v>
      </c>
      <c r="BQ8" s="447">
        <f>BudgetedData!G3</f>
        <v>44520</v>
      </c>
      <c r="BR8" s="447">
        <f>Data!C103</f>
        <v>0</v>
      </c>
      <c r="BS8" s="447">
        <f>Data!D103</f>
        <v>0</v>
      </c>
      <c r="BT8" s="447">
        <f>Data!E103</f>
        <v>0</v>
      </c>
      <c r="BU8" s="152">
        <f t="shared" si="24"/>
        <v>0</v>
      </c>
      <c r="BV8" s="779" t="str">
        <f t="shared" ref="BV8:BV26" si="79">IF(BR8=0,"-",BU8/BR8)</f>
        <v>-</v>
      </c>
      <c r="BW8" s="779" t="str">
        <f t="shared" ref="BW8:BW26" si="80">IF(ISERROR(BT8/BR8),"-",BT8/BR8)</f>
        <v>-</v>
      </c>
      <c r="BX8" s="770">
        <f t="shared" ref="BX8:BX26" si="81">BQ8-BR8</f>
        <v>44520</v>
      </c>
      <c r="BY8" s="772">
        <f t="shared" ref="BY8:BY26" si="82">BR8-BU8</f>
        <v>0</v>
      </c>
      <c r="BZ8" s="780">
        <f t="shared" ref="BZ8:BZ26" si="83">BQ8-BU8</f>
        <v>44520</v>
      </c>
      <c r="CA8" s="785"/>
      <c r="CB8" s="794"/>
      <c r="CC8" s="408" t="s">
        <v>47</v>
      </c>
      <c r="CD8" s="447">
        <f>BudgetedData!H3</f>
        <v>44520</v>
      </c>
      <c r="CE8" s="447">
        <f>Data!C123</f>
        <v>0</v>
      </c>
      <c r="CF8" s="447">
        <f>Data!D123</f>
        <v>0</v>
      </c>
      <c r="CG8" s="447">
        <f>Data!E123</f>
        <v>0</v>
      </c>
      <c r="CH8" s="152">
        <f t="shared" si="29"/>
        <v>0</v>
      </c>
      <c r="CI8" s="779" t="str">
        <f t="shared" ref="CI8:CI26" si="84">IF(CE8=0,"-",CH8/CE8)</f>
        <v>-</v>
      </c>
      <c r="CJ8" s="779" t="str">
        <f t="shared" ref="CJ8:CJ26" si="85">IF(ISERROR(CG8/CE8),"-",CG8/CE8)</f>
        <v>-</v>
      </c>
      <c r="CK8" s="770">
        <f t="shared" ref="CK8:CK26" si="86">CD8-CE8</f>
        <v>44520</v>
      </c>
      <c r="CL8" s="772">
        <f t="shared" ref="CL8:CL26" si="87">CE8-CH8</f>
        <v>0</v>
      </c>
      <c r="CM8" s="780">
        <f t="shared" ref="CM8:CM26" si="88">CD8-CH8</f>
        <v>44520</v>
      </c>
      <c r="CN8" s="785"/>
      <c r="CO8" s="789"/>
      <c r="CP8" s="408" t="s">
        <v>47</v>
      </c>
      <c r="CQ8" s="447">
        <f>BudgetedData!I3</f>
        <v>42184</v>
      </c>
      <c r="CR8" s="447">
        <f>Data!C143</f>
        <v>0</v>
      </c>
      <c r="CS8" s="447">
        <f>Data!D143</f>
        <v>0</v>
      </c>
      <c r="CT8" s="447">
        <f>Data!E143</f>
        <v>0</v>
      </c>
      <c r="CU8" s="152">
        <f t="shared" si="34"/>
        <v>0</v>
      </c>
      <c r="CV8" s="779" t="str">
        <f t="shared" ref="CV8:CV26" si="89">IF(CR8=0,"-",CU8/CR8)</f>
        <v>-</v>
      </c>
      <c r="CW8" s="779" t="str">
        <f t="shared" ref="CW8:CW26" si="90">IF(ISERROR(CT8/CR8),"-",CT8/CR8)</f>
        <v>-</v>
      </c>
      <c r="CX8" s="770">
        <f t="shared" ref="CX8:CX26" si="91">CQ8-CR8</f>
        <v>42184</v>
      </c>
      <c r="CY8" s="772">
        <f t="shared" ref="CY8:CY26" si="92">CR8-CU8</f>
        <v>0</v>
      </c>
      <c r="CZ8" s="780">
        <f t="shared" ref="CZ8:CZ26" si="93">CQ8-CU8</f>
        <v>42184</v>
      </c>
      <c r="DA8" s="785"/>
      <c r="DB8" s="790"/>
      <c r="DC8" s="408" t="s">
        <v>47</v>
      </c>
      <c r="DD8" s="447">
        <f>BudgetedData!J3</f>
        <v>45037</v>
      </c>
      <c r="DE8" s="447">
        <f>Data!C163</f>
        <v>0</v>
      </c>
      <c r="DF8" s="447">
        <f>Data!D163</f>
        <v>0</v>
      </c>
      <c r="DG8" s="447">
        <f>Data!E163</f>
        <v>0</v>
      </c>
      <c r="DH8" s="152">
        <f>+DE8+DF8-DG8</f>
        <v>0</v>
      </c>
      <c r="DI8" s="779" t="str">
        <f t="shared" ref="DI8:DI26" si="94">IF(DE8=0,"-",DH8/DE8)</f>
        <v>-</v>
      </c>
      <c r="DJ8" s="779" t="str">
        <f t="shared" ref="DJ8:DJ26" si="95">IF(ISERROR(DG8/DE8),"-",DG8/DE8)</f>
        <v>-</v>
      </c>
      <c r="DK8" s="770">
        <f t="shared" ref="DK8:DK26" si="96">DD8-DE8</f>
        <v>45037</v>
      </c>
      <c r="DL8" s="772">
        <f t="shared" ref="DL8:DL26" si="97">DE8-DH8</f>
        <v>0</v>
      </c>
      <c r="DM8" s="780">
        <f t="shared" ref="DM8:DM26" si="98">DD8-DH8</f>
        <v>45037</v>
      </c>
      <c r="DN8" s="785"/>
      <c r="DO8" s="791"/>
      <c r="DP8" s="408" t="s">
        <v>47</v>
      </c>
      <c r="DQ8" s="447">
        <f>BudgetedData!K3</f>
        <v>43988</v>
      </c>
      <c r="DR8" s="447">
        <f>Data!C183</f>
        <v>0</v>
      </c>
      <c r="DS8" s="447">
        <f>Data!D183</f>
        <v>0</v>
      </c>
      <c r="DT8" s="447">
        <f>Data!E183</f>
        <v>0</v>
      </c>
      <c r="DU8" s="152">
        <f t="shared" si="40"/>
        <v>0</v>
      </c>
      <c r="DV8" s="779" t="str">
        <f t="shared" ref="DV8:DV26" si="99">IF(DR8=0,"-",DU8/DR8)</f>
        <v>-</v>
      </c>
      <c r="DW8" s="779" t="str">
        <f t="shared" ref="DW8:DW26" si="100">IF(ISERROR(DT8/DR8),"-",DT8/DR8)</f>
        <v>-</v>
      </c>
      <c r="DX8" s="770">
        <f t="shared" ref="DX8:DX26" si="101">DQ8-DR8</f>
        <v>43988</v>
      </c>
      <c r="DY8" s="772">
        <f t="shared" ref="DY8:DY26" si="102">DR8-DU8</f>
        <v>0</v>
      </c>
      <c r="DZ8" s="780">
        <f t="shared" ref="DZ8:DZ26" si="103">DQ8-DU8</f>
        <v>43988</v>
      </c>
      <c r="EA8" s="785"/>
      <c r="EB8" s="429"/>
      <c r="EC8" s="408" t="s">
        <v>47</v>
      </c>
      <c r="ED8" s="447">
        <f>BudgetedData!L3</f>
        <v>44282</v>
      </c>
      <c r="EE8" s="447">
        <f>Data!C203</f>
        <v>0</v>
      </c>
      <c r="EF8" s="447">
        <f>Data!D203</f>
        <v>0</v>
      </c>
      <c r="EG8" s="447">
        <f>Data!E203</f>
        <v>0</v>
      </c>
      <c r="EH8" s="152">
        <f t="shared" si="45"/>
        <v>0</v>
      </c>
      <c r="EI8" s="779" t="str">
        <f t="shared" ref="EI8:EI26" si="104">IF(EE8=0,"-",EH8/EE8)</f>
        <v>-</v>
      </c>
      <c r="EJ8" s="779" t="str">
        <f t="shared" ref="EJ8:EJ26" si="105">IF(ISERROR(EG8/EE8),"-",EG8/EE8)</f>
        <v>-</v>
      </c>
      <c r="EK8" s="770">
        <f t="shared" ref="EK8:EK26" si="106">ED8-EE8</f>
        <v>44282</v>
      </c>
      <c r="EL8" s="772">
        <f t="shared" ref="EL8:EL26" si="107">EE8-EH8</f>
        <v>0</v>
      </c>
      <c r="EM8" s="780">
        <f t="shared" ref="EM8:EM26" si="108">ED8-EH8</f>
        <v>44282</v>
      </c>
      <c r="EN8" s="781"/>
      <c r="EO8" s="792"/>
      <c r="EP8" s="408" t="s">
        <v>47</v>
      </c>
      <c r="EQ8" s="447">
        <f>BudgetedData!M3</f>
        <v>43988</v>
      </c>
      <c r="ER8" s="447">
        <f>Data!C223</f>
        <v>0</v>
      </c>
      <c r="ES8" s="447">
        <f>Data!D223</f>
        <v>0</v>
      </c>
      <c r="ET8" s="447">
        <f>Data!E223</f>
        <v>0</v>
      </c>
      <c r="EU8" s="152">
        <f t="shared" si="50"/>
        <v>0</v>
      </c>
      <c r="EV8" s="779" t="str">
        <f t="shared" ref="EV8:EV26" si="109">IF(ER8=0,"-",EU8/ER8)</f>
        <v>-</v>
      </c>
      <c r="EW8" s="779" t="str">
        <f t="shared" ref="EW8:EW26" si="110">IF(ISERROR(ET8/ER8),"-",ET8/ER8)</f>
        <v>-</v>
      </c>
      <c r="EX8" s="770">
        <f t="shared" ref="EX8:EX26" si="111">EQ8-ER8</f>
        <v>43988</v>
      </c>
      <c r="EY8" s="772">
        <f t="shared" ref="EY8:EY26" si="112">ER8-EU8</f>
        <v>0</v>
      </c>
      <c r="EZ8" s="780">
        <f t="shared" ref="EZ8:EZ26" si="113">EQ8-EU8</f>
        <v>43988</v>
      </c>
      <c r="FA8" s="776"/>
    </row>
    <row r="9" spans="1:157" s="208" customFormat="1" ht="15" customHeight="1">
      <c r="A9" s="777"/>
      <c r="B9" s="778"/>
      <c r="C9" s="408"/>
      <c r="D9" s="386"/>
      <c r="E9" s="447"/>
      <c r="F9" s="447"/>
      <c r="G9" s="447"/>
      <c r="H9" s="152"/>
      <c r="I9" s="779"/>
      <c r="J9" s="779"/>
      <c r="K9" s="770"/>
      <c r="L9" s="772"/>
      <c r="M9" s="780"/>
      <c r="N9" s="781"/>
      <c r="O9" s="793"/>
      <c r="P9" s="408"/>
      <c r="Q9" s="439"/>
      <c r="R9" s="419"/>
      <c r="S9" s="447"/>
      <c r="T9" s="419"/>
      <c r="U9" s="152"/>
      <c r="V9" s="779"/>
      <c r="W9" s="779"/>
      <c r="X9" s="770"/>
      <c r="Y9" s="772"/>
      <c r="Z9" s="780"/>
      <c r="AA9" s="781"/>
      <c r="AB9" s="783"/>
      <c r="AC9" s="408"/>
      <c r="AD9" s="447"/>
      <c r="AE9" s="447"/>
      <c r="AF9" s="447"/>
      <c r="AG9" s="447"/>
      <c r="AH9" s="152"/>
      <c r="AI9" s="779"/>
      <c r="AJ9" s="779"/>
      <c r="AK9" s="770"/>
      <c r="AL9" s="772"/>
      <c r="AM9" s="780"/>
      <c r="AN9" s="781"/>
      <c r="AO9" s="784"/>
      <c r="AP9" s="408"/>
      <c r="AQ9" s="447"/>
      <c r="AR9" s="447"/>
      <c r="AS9" s="447"/>
      <c r="AT9" s="447"/>
      <c r="AU9" s="152"/>
      <c r="AV9" s="779"/>
      <c r="AW9" s="779"/>
      <c r="AX9" s="770"/>
      <c r="AY9" s="772"/>
      <c r="AZ9" s="780"/>
      <c r="BA9" s="785"/>
      <c r="BB9" s="786"/>
      <c r="BC9" s="408"/>
      <c r="BD9" s="447"/>
      <c r="BE9" s="447"/>
      <c r="BF9" s="447"/>
      <c r="BG9" s="447"/>
      <c r="BH9" s="152"/>
      <c r="BI9" s="779"/>
      <c r="BJ9" s="779"/>
      <c r="BK9" s="770"/>
      <c r="BL9" s="772"/>
      <c r="BM9" s="780"/>
      <c r="BN9" s="785"/>
      <c r="BO9" s="787"/>
      <c r="BP9" s="408"/>
      <c r="BQ9" s="447"/>
      <c r="BR9" s="447"/>
      <c r="BS9" s="447"/>
      <c r="BT9" s="447"/>
      <c r="BU9" s="152"/>
      <c r="BV9" s="779"/>
      <c r="BW9" s="779"/>
      <c r="BX9" s="770"/>
      <c r="BY9" s="772"/>
      <c r="BZ9" s="780"/>
      <c r="CA9" s="785"/>
      <c r="CB9" s="794"/>
      <c r="CC9" s="408"/>
      <c r="CD9" s="447"/>
      <c r="CE9" s="447"/>
      <c r="CF9" s="447"/>
      <c r="CG9" s="447"/>
      <c r="CH9" s="152"/>
      <c r="CI9" s="779"/>
      <c r="CJ9" s="779"/>
      <c r="CK9" s="770"/>
      <c r="CL9" s="772"/>
      <c r="CM9" s="780"/>
      <c r="CN9" s="785"/>
      <c r="CO9" s="789"/>
      <c r="CP9" s="408"/>
      <c r="CQ9" s="447"/>
      <c r="CR9" s="447"/>
      <c r="CS9" s="447"/>
      <c r="CT9" s="447"/>
      <c r="CU9" s="152"/>
      <c r="CV9" s="779"/>
      <c r="CW9" s="779"/>
      <c r="CX9" s="770"/>
      <c r="CY9" s="772"/>
      <c r="CZ9" s="780"/>
      <c r="DA9" s="785"/>
      <c r="DB9" s="790"/>
      <c r="DC9" s="408"/>
      <c r="DD9" s="447"/>
      <c r="DE9" s="447"/>
      <c r="DF9" s="447"/>
      <c r="DG9" s="447"/>
      <c r="DH9" s="152"/>
      <c r="DI9" s="779"/>
      <c r="DJ9" s="779"/>
      <c r="DK9" s="770"/>
      <c r="DL9" s="772"/>
      <c r="DM9" s="780"/>
      <c r="DN9" s="785"/>
      <c r="DO9" s="791"/>
      <c r="DP9" s="408"/>
      <c r="DQ9" s="447"/>
      <c r="DR9" s="447"/>
      <c r="DS9" s="447"/>
      <c r="DT9" s="447"/>
      <c r="DU9" s="152"/>
      <c r="DV9" s="779"/>
      <c r="DW9" s="779"/>
      <c r="DX9" s="770"/>
      <c r="DY9" s="772"/>
      <c r="DZ9" s="780"/>
      <c r="EA9" s="785"/>
      <c r="EB9" s="429"/>
      <c r="EC9" s="408"/>
      <c r="ED9" s="447"/>
      <c r="EE9" s="447"/>
      <c r="EF9" s="447"/>
      <c r="EG9" s="447"/>
      <c r="EH9" s="152"/>
      <c r="EI9" s="779"/>
      <c r="EJ9" s="779"/>
      <c r="EK9" s="770"/>
      <c r="EL9" s="772"/>
      <c r="EM9" s="780"/>
      <c r="EN9" s="781"/>
      <c r="EO9" s="792"/>
      <c r="EP9" s="408"/>
      <c r="EQ9" s="447"/>
      <c r="ER9" s="447"/>
      <c r="ES9" s="447"/>
      <c r="ET9" s="447"/>
      <c r="EU9" s="152"/>
      <c r="EV9" s="779"/>
      <c r="EW9" s="779"/>
      <c r="EX9" s="770"/>
      <c r="EY9" s="772"/>
      <c r="EZ9" s="780"/>
      <c r="FA9" s="776"/>
    </row>
    <row r="10" spans="1:157" s="208" customFormat="1" ht="15" customHeight="1">
      <c r="A10" s="777"/>
      <c r="B10" s="778"/>
      <c r="C10" s="408" t="s">
        <v>48</v>
      </c>
      <c r="D10" s="386">
        <f>BudgetedData!B4</f>
        <v>46004</v>
      </c>
      <c r="E10" s="447">
        <f>Data!C4</f>
        <v>44695.830999999991</v>
      </c>
      <c r="F10" s="447">
        <f>Data!D4</f>
        <v>310.26638000000008</v>
      </c>
      <c r="G10" s="447">
        <f>Data!E4</f>
        <v>1414.916666666667</v>
      </c>
      <c r="H10" s="152">
        <f t="shared" si="0"/>
        <v>43591.180713333328</v>
      </c>
      <c r="I10" s="779">
        <f t="shared" si="55"/>
        <v>0.97528516056303638</v>
      </c>
      <c r="J10" s="779">
        <f t="shared" si="56"/>
        <v>3.1656569192474962E-2</v>
      </c>
      <c r="K10" s="770">
        <f t="shared" si="57"/>
        <v>1308.169000000009</v>
      </c>
      <c r="L10" s="772">
        <f t="shared" si="58"/>
        <v>1104.6502866666633</v>
      </c>
      <c r="M10" s="780">
        <f t="shared" si="59"/>
        <v>2412.8192866666723</v>
      </c>
      <c r="N10" s="781"/>
      <c r="O10" s="793"/>
      <c r="P10" s="408" t="s">
        <v>48</v>
      </c>
      <c r="Q10" s="439">
        <f>BudgetedData!C4</f>
        <v>46147</v>
      </c>
      <c r="R10" s="419">
        <f>Data!C24</f>
        <v>45725.35</v>
      </c>
      <c r="S10" s="447">
        <f>Data!D24</f>
        <v>453.81669999999991</v>
      </c>
      <c r="T10" s="419">
        <f>Data!E24</f>
        <v>1098.3333333333333</v>
      </c>
      <c r="U10" s="152">
        <f t="shared" si="5"/>
        <v>45080.833366666666</v>
      </c>
      <c r="V10" s="779">
        <f t="shared" si="60"/>
        <v>0.98590461017065301</v>
      </c>
      <c r="W10" s="779">
        <f t="shared" si="61"/>
        <v>2.4020228020853494E-2</v>
      </c>
      <c r="X10" s="770">
        <f t="shared" si="62"/>
        <v>421.65000000000146</v>
      </c>
      <c r="Y10" s="772">
        <f t="shared" si="63"/>
        <v>644.51663333333272</v>
      </c>
      <c r="Z10" s="780">
        <f t="shared" si="64"/>
        <v>1066.1666333333342</v>
      </c>
      <c r="AA10" s="781"/>
      <c r="AB10" s="783"/>
      <c r="AC10" s="408" t="s">
        <v>48</v>
      </c>
      <c r="AD10" s="447">
        <f>BudgetedData!D4</f>
        <v>43607</v>
      </c>
      <c r="AE10" s="447">
        <f>Data!C44</f>
        <v>43205.996999999996</v>
      </c>
      <c r="AF10" s="447">
        <f>Data!D44</f>
        <v>486.53340999999989</v>
      </c>
      <c r="AG10" s="447">
        <f>Data!E44</f>
        <v>1069.3666666666666</v>
      </c>
      <c r="AH10" s="152">
        <f t="shared" si="10"/>
        <v>42623.163743333324</v>
      </c>
      <c r="AI10" s="779">
        <f t="shared" si="11"/>
        <v>0.98651036205305775</v>
      </c>
      <c r="AJ10" s="779">
        <f t="shared" si="65"/>
        <v>2.4750422184833892E-2</v>
      </c>
      <c r="AK10" s="770">
        <f t="shared" si="66"/>
        <v>401.00300000000425</v>
      </c>
      <c r="AL10" s="772">
        <f t="shared" si="67"/>
        <v>582.83325666667224</v>
      </c>
      <c r="AM10" s="780">
        <f t="shared" si="68"/>
        <v>983.83625666667649</v>
      </c>
      <c r="AN10" s="781"/>
      <c r="AO10" s="784"/>
      <c r="AP10" s="408" t="s">
        <v>48</v>
      </c>
      <c r="AQ10" s="447">
        <f>BudgetedData!E4</f>
        <v>45282</v>
      </c>
      <c r="AR10" s="447">
        <f>Data!C64</f>
        <v>46484.423000000003</v>
      </c>
      <c r="AS10" s="447">
        <f>Data!D64</f>
        <v>549.55007000000001</v>
      </c>
      <c r="AT10" s="447">
        <f>Data!E64</f>
        <v>1075.0501000000002</v>
      </c>
      <c r="AU10" s="152">
        <f t="shared" si="69"/>
        <v>45958.92297</v>
      </c>
      <c r="AV10" s="779">
        <f t="shared" si="15"/>
        <v>0.98869513707850043</v>
      </c>
      <c r="AW10" s="779">
        <f t="shared" si="70"/>
        <v>2.3127104320516147E-2</v>
      </c>
      <c r="AX10" s="770">
        <f t="shared" si="71"/>
        <v>-1202.4230000000025</v>
      </c>
      <c r="AY10" s="772">
        <f t="shared" si="72"/>
        <v>525.50003000000288</v>
      </c>
      <c r="AZ10" s="780">
        <f t="shared" si="73"/>
        <v>-676.92296999999962</v>
      </c>
      <c r="BA10" s="785"/>
      <c r="BB10" s="786"/>
      <c r="BC10" s="408" t="s">
        <v>48</v>
      </c>
      <c r="BD10" s="447">
        <f>BudgetedData!F4</f>
        <v>43750</v>
      </c>
      <c r="BE10" s="447">
        <f>Data!C84</f>
        <v>0</v>
      </c>
      <c r="BF10" s="447">
        <f>Data!D84</f>
        <v>0</v>
      </c>
      <c r="BG10" s="447">
        <f>Data!E84</f>
        <v>0</v>
      </c>
      <c r="BH10" s="152">
        <f t="shared" si="19"/>
        <v>0</v>
      </c>
      <c r="BI10" s="779" t="str">
        <f t="shared" si="74"/>
        <v>-</v>
      </c>
      <c r="BJ10" s="779" t="str">
        <f t="shared" si="75"/>
        <v>-</v>
      </c>
      <c r="BK10" s="770">
        <f t="shared" si="76"/>
        <v>43750</v>
      </c>
      <c r="BL10" s="772">
        <f t="shared" si="77"/>
        <v>0</v>
      </c>
      <c r="BM10" s="780">
        <f t="shared" si="78"/>
        <v>43750</v>
      </c>
      <c r="BN10" s="785"/>
      <c r="BO10" s="787"/>
      <c r="BP10" s="408" t="s">
        <v>48</v>
      </c>
      <c r="BQ10" s="447">
        <f>BudgetedData!G4</f>
        <v>45282</v>
      </c>
      <c r="BR10" s="447">
        <f>Data!C104</f>
        <v>0</v>
      </c>
      <c r="BS10" s="447">
        <f>Data!D104</f>
        <v>0</v>
      </c>
      <c r="BT10" s="447">
        <f>Data!E104</f>
        <v>0</v>
      </c>
      <c r="BU10" s="152">
        <f t="shared" si="24"/>
        <v>0</v>
      </c>
      <c r="BV10" s="779" t="str">
        <f t="shared" si="79"/>
        <v>-</v>
      </c>
      <c r="BW10" s="779" t="str">
        <f t="shared" si="80"/>
        <v>-</v>
      </c>
      <c r="BX10" s="770">
        <f t="shared" si="81"/>
        <v>45282</v>
      </c>
      <c r="BY10" s="772">
        <f t="shared" si="82"/>
        <v>0</v>
      </c>
      <c r="BZ10" s="780">
        <f t="shared" si="83"/>
        <v>45282</v>
      </c>
      <c r="CA10" s="785"/>
      <c r="CB10" s="794"/>
      <c r="CC10" s="408" t="s">
        <v>48</v>
      </c>
      <c r="CD10" s="447">
        <f>BudgetedData!H4</f>
        <v>45282</v>
      </c>
      <c r="CE10" s="447">
        <f>Data!C124</f>
        <v>0</v>
      </c>
      <c r="CF10" s="447">
        <f>Data!D124</f>
        <v>0</v>
      </c>
      <c r="CG10" s="447">
        <f>Data!E124</f>
        <v>0</v>
      </c>
      <c r="CH10" s="152">
        <f t="shared" si="29"/>
        <v>0</v>
      </c>
      <c r="CI10" s="779" t="str">
        <f t="shared" si="84"/>
        <v>-</v>
      </c>
      <c r="CJ10" s="779" t="str">
        <f t="shared" si="85"/>
        <v>-</v>
      </c>
      <c r="CK10" s="770">
        <f t="shared" si="86"/>
        <v>45282</v>
      </c>
      <c r="CL10" s="772">
        <f t="shared" si="87"/>
        <v>0</v>
      </c>
      <c r="CM10" s="780">
        <f t="shared" si="88"/>
        <v>45282</v>
      </c>
      <c r="CN10" s="785"/>
      <c r="CO10" s="789"/>
      <c r="CP10" s="408" t="s">
        <v>48</v>
      </c>
      <c r="CQ10" s="447">
        <f>BudgetedData!I4</f>
        <v>42796</v>
      </c>
      <c r="CR10" s="447">
        <f>Data!C144</f>
        <v>0</v>
      </c>
      <c r="CS10" s="447">
        <f>Data!D144</f>
        <v>0</v>
      </c>
      <c r="CT10" s="447">
        <f>Data!E144</f>
        <v>0</v>
      </c>
      <c r="CU10" s="152">
        <f t="shared" si="34"/>
        <v>0</v>
      </c>
      <c r="CV10" s="779" t="str">
        <f t="shared" si="89"/>
        <v>-</v>
      </c>
      <c r="CW10" s="779" t="str">
        <f t="shared" si="90"/>
        <v>-</v>
      </c>
      <c r="CX10" s="770">
        <f t="shared" si="91"/>
        <v>42796</v>
      </c>
      <c r="CY10" s="772">
        <f t="shared" si="92"/>
        <v>0</v>
      </c>
      <c r="CZ10" s="780">
        <f t="shared" si="93"/>
        <v>42796</v>
      </c>
      <c r="DA10" s="785"/>
      <c r="DB10" s="790"/>
      <c r="DC10" s="408" t="s">
        <v>48</v>
      </c>
      <c r="DD10" s="447">
        <f>BudgetedData!J4</f>
        <v>46004</v>
      </c>
      <c r="DE10" s="447">
        <f>Data!C164</f>
        <v>0</v>
      </c>
      <c r="DF10" s="447">
        <f>Data!D164</f>
        <v>0</v>
      </c>
      <c r="DG10" s="447">
        <f>Data!E164</f>
        <v>0</v>
      </c>
      <c r="DH10" s="152">
        <f>+DE10+DF10-DG10</f>
        <v>0</v>
      </c>
      <c r="DI10" s="779" t="str">
        <f t="shared" si="94"/>
        <v>-</v>
      </c>
      <c r="DJ10" s="779" t="str">
        <f t="shared" si="95"/>
        <v>-</v>
      </c>
      <c r="DK10" s="770">
        <f t="shared" si="96"/>
        <v>46004</v>
      </c>
      <c r="DL10" s="772">
        <f t="shared" si="97"/>
        <v>0</v>
      </c>
      <c r="DM10" s="780">
        <f t="shared" si="98"/>
        <v>46004</v>
      </c>
      <c r="DN10" s="785"/>
      <c r="DO10" s="791"/>
      <c r="DP10" s="408" t="s">
        <v>48</v>
      </c>
      <c r="DQ10" s="447">
        <f>BudgetedData!K4</f>
        <v>45051</v>
      </c>
      <c r="DR10" s="447">
        <f>Data!C184</f>
        <v>0</v>
      </c>
      <c r="DS10" s="447">
        <f>Data!D184</f>
        <v>0</v>
      </c>
      <c r="DT10" s="447">
        <f>Data!E184</f>
        <v>0</v>
      </c>
      <c r="DU10" s="152">
        <f t="shared" si="40"/>
        <v>0</v>
      </c>
      <c r="DV10" s="779" t="str">
        <f t="shared" si="99"/>
        <v>-</v>
      </c>
      <c r="DW10" s="779" t="str">
        <f t="shared" si="100"/>
        <v>-</v>
      </c>
      <c r="DX10" s="770">
        <f t="shared" si="101"/>
        <v>45051</v>
      </c>
      <c r="DY10" s="772">
        <f t="shared" si="102"/>
        <v>0</v>
      </c>
      <c r="DZ10" s="780">
        <f t="shared" si="103"/>
        <v>45051</v>
      </c>
      <c r="EA10" s="785"/>
      <c r="EB10" s="429"/>
      <c r="EC10" s="408" t="s">
        <v>48</v>
      </c>
      <c r="ED10" s="447">
        <f>BudgetedData!L4</f>
        <v>44703</v>
      </c>
      <c r="EE10" s="447">
        <f>Data!C204</f>
        <v>0</v>
      </c>
      <c r="EF10" s="447">
        <f>Data!D204</f>
        <v>0</v>
      </c>
      <c r="EG10" s="447">
        <f>Data!E204</f>
        <v>0</v>
      </c>
      <c r="EH10" s="152">
        <f t="shared" si="45"/>
        <v>0</v>
      </c>
      <c r="EI10" s="779" t="str">
        <f t="shared" si="104"/>
        <v>-</v>
      </c>
      <c r="EJ10" s="779" t="str">
        <f t="shared" si="105"/>
        <v>-</v>
      </c>
      <c r="EK10" s="770">
        <f t="shared" si="106"/>
        <v>44703</v>
      </c>
      <c r="EL10" s="772">
        <f t="shared" si="107"/>
        <v>0</v>
      </c>
      <c r="EM10" s="780">
        <f t="shared" si="108"/>
        <v>44703</v>
      </c>
      <c r="EN10" s="781"/>
      <c r="EO10" s="792"/>
      <c r="EP10" s="408" t="s">
        <v>48</v>
      </c>
      <c r="EQ10" s="447">
        <f>BudgetedData!M4</f>
        <v>45051</v>
      </c>
      <c r="ER10" s="447">
        <f>Data!C224</f>
        <v>0</v>
      </c>
      <c r="ES10" s="447">
        <f>Data!D224</f>
        <v>0</v>
      </c>
      <c r="ET10" s="447">
        <f>Data!E224</f>
        <v>0</v>
      </c>
      <c r="EU10" s="152">
        <f t="shared" si="50"/>
        <v>0</v>
      </c>
      <c r="EV10" s="779" t="str">
        <f t="shared" si="109"/>
        <v>-</v>
      </c>
      <c r="EW10" s="779" t="str">
        <f t="shared" si="110"/>
        <v>-</v>
      </c>
      <c r="EX10" s="770">
        <f t="shared" si="111"/>
        <v>45051</v>
      </c>
      <c r="EY10" s="772">
        <f t="shared" si="112"/>
        <v>0</v>
      </c>
      <c r="EZ10" s="780">
        <f t="shared" si="113"/>
        <v>45051</v>
      </c>
      <c r="FA10" s="776"/>
    </row>
    <row r="11" spans="1:157" s="208" customFormat="1" ht="15" customHeight="1">
      <c r="A11" s="777"/>
      <c r="B11" s="778"/>
      <c r="C11" s="408"/>
      <c r="D11" s="386"/>
      <c r="E11" s="447"/>
      <c r="F11" s="447"/>
      <c r="G11" s="447"/>
      <c r="H11" s="152"/>
      <c r="I11" s="779"/>
      <c r="J11" s="779"/>
      <c r="K11" s="770"/>
      <c r="L11" s="772"/>
      <c r="M11" s="780"/>
      <c r="N11" s="781"/>
      <c r="O11" s="793"/>
      <c r="P11" s="408"/>
      <c r="Q11" s="439"/>
      <c r="R11" s="419"/>
      <c r="S11" s="447"/>
      <c r="T11" s="419"/>
      <c r="U11" s="152"/>
      <c r="V11" s="779"/>
      <c r="W11" s="779"/>
      <c r="X11" s="770"/>
      <c r="Y11" s="772"/>
      <c r="Z11" s="780"/>
      <c r="AA11" s="781"/>
      <c r="AB11" s="783"/>
      <c r="AC11" s="408"/>
      <c r="AD11" s="447"/>
      <c r="AE11" s="447"/>
      <c r="AF11" s="447"/>
      <c r="AG11" s="447"/>
      <c r="AH11" s="152"/>
      <c r="AI11" s="779"/>
      <c r="AJ11" s="779"/>
      <c r="AK11" s="770"/>
      <c r="AL11" s="772"/>
      <c r="AM11" s="780"/>
      <c r="AN11" s="781"/>
      <c r="AO11" s="784"/>
      <c r="AP11" s="408"/>
      <c r="AQ11" s="447"/>
      <c r="AR11" s="447"/>
      <c r="AS11" s="447"/>
      <c r="AT11" s="447"/>
      <c r="AU11" s="152"/>
      <c r="AV11" s="779"/>
      <c r="AW11" s="779"/>
      <c r="AX11" s="770"/>
      <c r="AY11" s="772"/>
      <c r="AZ11" s="780"/>
      <c r="BA11" s="785"/>
      <c r="BB11" s="786"/>
      <c r="BC11" s="408"/>
      <c r="BD11" s="447"/>
      <c r="BE11" s="447"/>
      <c r="BF11" s="447"/>
      <c r="BG11" s="447"/>
      <c r="BH11" s="152"/>
      <c r="BI11" s="779"/>
      <c r="BJ11" s="779"/>
      <c r="BK11" s="770"/>
      <c r="BL11" s="772"/>
      <c r="BM11" s="780"/>
      <c r="BN11" s="785"/>
      <c r="BO11" s="787"/>
      <c r="BP11" s="408"/>
      <c r="BQ11" s="447"/>
      <c r="BR11" s="447"/>
      <c r="BS11" s="447"/>
      <c r="BT11" s="447"/>
      <c r="BU11" s="152"/>
      <c r="BV11" s="779"/>
      <c r="BW11" s="779"/>
      <c r="BX11" s="770"/>
      <c r="BY11" s="772"/>
      <c r="BZ11" s="780"/>
      <c r="CA11" s="785"/>
      <c r="CB11" s="794"/>
      <c r="CC11" s="408"/>
      <c r="CD11" s="447"/>
      <c r="CE11" s="447"/>
      <c r="CF11" s="447"/>
      <c r="CG11" s="447"/>
      <c r="CH11" s="152"/>
      <c r="CI11" s="779"/>
      <c r="CJ11" s="779"/>
      <c r="CK11" s="770"/>
      <c r="CL11" s="772"/>
      <c r="CM11" s="780"/>
      <c r="CN11" s="785"/>
      <c r="CO11" s="789"/>
      <c r="CP11" s="408"/>
      <c r="CQ11" s="447"/>
      <c r="CR11" s="447"/>
      <c r="CS11" s="447"/>
      <c r="CT11" s="447"/>
      <c r="CU11" s="152"/>
      <c r="CV11" s="779"/>
      <c r="CW11" s="779"/>
      <c r="CX11" s="770"/>
      <c r="CY11" s="772"/>
      <c r="CZ11" s="780"/>
      <c r="DA11" s="785"/>
      <c r="DB11" s="790"/>
      <c r="DC11" s="408"/>
      <c r="DD11" s="447"/>
      <c r="DE11" s="447"/>
      <c r="DF11" s="447"/>
      <c r="DG11" s="447"/>
      <c r="DH11" s="152"/>
      <c r="DI11" s="779"/>
      <c r="DJ11" s="779"/>
      <c r="DK11" s="770"/>
      <c r="DL11" s="772"/>
      <c r="DM11" s="780"/>
      <c r="DN11" s="785"/>
      <c r="DO11" s="791"/>
      <c r="DP11" s="408"/>
      <c r="DQ11" s="447"/>
      <c r="DR11" s="447"/>
      <c r="DS11" s="447"/>
      <c r="DT11" s="447"/>
      <c r="DU11" s="152"/>
      <c r="DV11" s="779"/>
      <c r="DW11" s="779"/>
      <c r="DX11" s="770"/>
      <c r="DY11" s="772"/>
      <c r="DZ11" s="780"/>
      <c r="EA11" s="785"/>
      <c r="EB11" s="429"/>
      <c r="EC11" s="408"/>
      <c r="ED11" s="447"/>
      <c r="EE11" s="447"/>
      <c r="EF11" s="447"/>
      <c r="EG11" s="447"/>
      <c r="EH11" s="152"/>
      <c r="EI11" s="779"/>
      <c r="EJ11" s="779"/>
      <c r="EK11" s="770"/>
      <c r="EL11" s="772"/>
      <c r="EM11" s="780"/>
      <c r="EN11" s="781"/>
      <c r="EO11" s="792"/>
      <c r="EP11" s="408"/>
      <c r="EQ11" s="447"/>
      <c r="ER11" s="447"/>
      <c r="ES11" s="447"/>
      <c r="ET11" s="447"/>
      <c r="EU11" s="152"/>
      <c r="EV11" s="779"/>
      <c r="EW11" s="779"/>
      <c r="EX11" s="770"/>
      <c r="EY11" s="772"/>
      <c r="EZ11" s="780"/>
      <c r="FA11" s="776"/>
    </row>
    <row r="12" spans="1:157" s="208" customFormat="1" ht="15" customHeight="1">
      <c r="A12" s="780"/>
      <c r="B12" s="778"/>
      <c r="C12" s="408" t="s">
        <v>49</v>
      </c>
      <c r="D12" s="386">
        <f>BudgetedData!B5</f>
        <v>46884</v>
      </c>
      <c r="E12" s="447">
        <f>Data!C5</f>
        <v>47273.837999999996</v>
      </c>
      <c r="F12" s="447">
        <f>Data!D5</f>
        <v>498.34996999999998</v>
      </c>
      <c r="G12" s="447">
        <f>Data!E5</f>
        <v>867.53333333333342</v>
      </c>
      <c r="H12" s="152">
        <f t="shared" si="0"/>
        <v>46904.654636666666</v>
      </c>
      <c r="I12" s="779">
        <f t="shared" si="55"/>
        <v>0.99219053542186841</v>
      </c>
      <c r="J12" s="779">
        <f t="shared" si="56"/>
        <v>1.835123548321449E-2</v>
      </c>
      <c r="K12" s="770">
        <f t="shared" si="57"/>
        <v>-389.8379999999961</v>
      </c>
      <c r="L12" s="772">
        <f t="shared" si="58"/>
        <v>369.18336333332991</v>
      </c>
      <c r="M12" s="780">
        <f t="shared" si="59"/>
        <v>-20.654636666666192</v>
      </c>
      <c r="N12" s="770"/>
      <c r="O12" s="793"/>
      <c r="P12" s="408" t="s">
        <v>49</v>
      </c>
      <c r="Q12" s="439">
        <f>BudgetedData!C5</f>
        <v>47181</v>
      </c>
      <c r="R12" s="419">
        <f>Data!C25</f>
        <v>47818.527000000009</v>
      </c>
      <c r="S12" s="447">
        <f>Data!D25</f>
        <v>675.73337000000004</v>
      </c>
      <c r="T12" s="419">
        <f>Data!E25</f>
        <v>1024.4166666666667</v>
      </c>
      <c r="U12" s="152">
        <f t="shared" si="5"/>
        <v>47469.843703333347</v>
      </c>
      <c r="V12" s="779">
        <f t="shared" si="60"/>
        <v>0.99270819662289755</v>
      </c>
      <c r="W12" s="779">
        <f t="shared" si="61"/>
        <v>2.1423007585881233E-2</v>
      </c>
      <c r="X12" s="770">
        <f t="shared" si="62"/>
        <v>-637.52700000000914</v>
      </c>
      <c r="Y12" s="772">
        <f t="shared" si="63"/>
        <v>348.6832966666625</v>
      </c>
      <c r="Z12" s="780">
        <f t="shared" si="64"/>
        <v>-288.84370333334664</v>
      </c>
      <c r="AA12" s="770"/>
      <c r="AB12" s="783"/>
      <c r="AC12" s="408" t="s">
        <v>49</v>
      </c>
      <c r="AD12" s="447">
        <f>BudgetedData!D5</f>
        <v>44278</v>
      </c>
      <c r="AE12" s="447">
        <f>Data!C45</f>
        <v>44606.847000000002</v>
      </c>
      <c r="AF12" s="447">
        <f>Data!D45</f>
        <v>913.19990000000007</v>
      </c>
      <c r="AG12" s="447">
        <f>Data!E45</f>
        <v>1113.3</v>
      </c>
      <c r="AH12" s="152">
        <f t="shared" si="10"/>
        <v>44406.746899999998</v>
      </c>
      <c r="AI12" s="779">
        <f t="shared" si="11"/>
        <v>0.99551413934277844</v>
      </c>
      <c r="AJ12" s="779">
        <f t="shared" si="65"/>
        <v>2.4958051843475958E-2</v>
      </c>
      <c r="AK12" s="770">
        <f t="shared" si="66"/>
        <v>-328.84700000000157</v>
      </c>
      <c r="AL12" s="772">
        <f t="shared" si="67"/>
        <v>200.10010000000329</v>
      </c>
      <c r="AM12" s="780">
        <f t="shared" si="68"/>
        <v>-128.74689999999828</v>
      </c>
      <c r="AN12" s="770"/>
      <c r="AO12" s="784"/>
      <c r="AP12" s="408" t="s">
        <v>49</v>
      </c>
      <c r="AQ12" s="447">
        <f>BudgetedData!E5</f>
        <v>46006</v>
      </c>
      <c r="AR12" s="447">
        <f>Data!C65</f>
        <v>47600.947</v>
      </c>
      <c r="AS12" s="447">
        <f>Data!D65</f>
        <v>990.16696999999999</v>
      </c>
      <c r="AT12" s="447">
        <f>Data!E65</f>
        <v>1037.1164000000001</v>
      </c>
      <c r="AU12" s="152">
        <f t="shared" si="69"/>
        <v>47553.99757</v>
      </c>
      <c r="AV12" s="779">
        <f t="shared" si="15"/>
        <v>0.99901368705962923</v>
      </c>
      <c r="AW12" s="779">
        <f t="shared" si="70"/>
        <v>2.1787726197968291E-2</v>
      </c>
      <c r="AX12" s="770">
        <f t="shared" si="71"/>
        <v>-1594.9470000000001</v>
      </c>
      <c r="AY12" s="772">
        <f t="shared" si="72"/>
        <v>46.949430000000575</v>
      </c>
      <c r="AZ12" s="780">
        <f t="shared" si="73"/>
        <v>-1547.9975699999995</v>
      </c>
      <c r="BA12" s="772"/>
      <c r="BB12" s="786"/>
      <c r="BC12" s="408" t="s">
        <v>49</v>
      </c>
      <c r="BD12" s="447">
        <f>BudgetedData!F5</f>
        <v>44575</v>
      </c>
      <c r="BE12" s="447">
        <f>Data!C85</f>
        <v>0</v>
      </c>
      <c r="BF12" s="447">
        <f>Data!D85</f>
        <v>0</v>
      </c>
      <c r="BG12" s="447">
        <f>Data!E85</f>
        <v>0</v>
      </c>
      <c r="BH12" s="152">
        <f t="shared" si="19"/>
        <v>0</v>
      </c>
      <c r="BI12" s="779" t="str">
        <f t="shared" si="74"/>
        <v>-</v>
      </c>
      <c r="BJ12" s="779" t="str">
        <f t="shared" si="75"/>
        <v>-</v>
      </c>
      <c r="BK12" s="770">
        <f t="shared" si="76"/>
        <v>44575</v>
      </c>
      <c r="BL12" s="772">
        <f t="shared" si="77"/>
        <v>0</v>
      </c>
      <c r="BM12" s="780">
        <f t="shared" si="78"/>
        <v>44575</v>
      </c>
      <c r="BN12" s="772"/>
      <c r="BO12" s="787"/>
      <c r="BP12" s="408" t="s">
        <v>49</v>
      </c>
      <c r="BQ12" s="447">
        <f>BudgetedData!G5</f>
        <v>46006</v>
      </c>
      <c r="BR12" s="447">
        <f>Data!C105</f>
        <v>0</v>
      </c>
      <c r="BS12" s="447">
        <f>Data!D105</f>
        <v>0</v>
      </c>
      <c r="BT12" s="447">
        <f>Data!E105</f>
        <v>0</v>
      </c>
      <c r="BU12" s="152">
        <f t="shared" si="24"/>
        <v>0</v>
      </c>
      <c r="BV12" s="779" t="str">
        <f t="shared" si="79"/>
        <v>-</v>
      </c>
      <c r="BW12" s="779" t="str">
        <f t="shared" si="80"/>
        <v>-</v>
      </c>
      <c r="BX12" s="770">
        <f t="shared" si="81"/>
        <v>46006</v>
      </c>
      <c r="BY12" s="772">
        <f t="shared" si="82"/>
        <v>0</v>
      </c>
      <c r="BZ12" s="780">
        <f t="shared" si="83"/>
        <v>46006</v>
      </c>
      <c r="CA12" s="772"/>
      <c r="CB12" s="794"/>
      <c r="CC12" s="408" t="s">
        <v>49</v>
      </c>
      <c r="CD12" s="447">
        <f>BudgetedData!H5</f>
        <v>46006</v>
      </c>
      <c r="CE12" s="447">
        <f>Data!C125</f>
        <v>0</v>
      </c>
      <c r="CF12" s="447">
        <f>Data!D125</f>
        <v>0</v>
      </c>
      <c r="CG12" s="447">
        <f>Data!E125</f>
        <v>0</v>
      </c>
      <c r="CH12" s="152">
        <f t="shared" si="29"/>
        <v>0</v>
      </c>
      <c r="CI12" s="779" t="str">
        <f t="shared" si="84"/>
        <v>-</v>
      </c>
      <c r="CJ12" s="779" t="str">
        <f t="shared" si="85"/>
        <v>-</v>
      </c>
      <c r="CK12" s="770">
        <f t="shared" si="86"/>
        <v>46006</v>
      </c>
      <c r="CL12" s="772">
        <f t="shared" si="87"/>
        <v>0</v>
      </c>
      <c r="CM12" s="780">
        <f t="shared" si="88"/>
        <v>46006</v>
      </c>
      <c r="CN12" s="772"/>
      <c r="CO12" s="789"/>
      <c r="CP12" s="408" t="s">
        <v>49</v>
      </c>
      <c r="CQ12" s="447">
        <f>BudgetedData!I5</f>
        <v>43724</v>
      </c>
      <c r="CR12" s="447">
        <f>Data!C145</f>
        <v>0</v>
      </c>
      <c r="CS12" s="447">
        <f>Data!D145</f>
        <v>0</v>
      </c>
      <c r="CT12" s="447">
        <f>Data!E145</f>
        <v>0</v>
      </c>
      <c r="CU12" s="152">
        <f t="shared" si="34"/>
        <v>0</v>
      </c>
      <c r="CV12" s="779" t="str">
        <f t="shared" si="89"/>
        <v>-</v>
      </c>
      <c r="CW12" s="779" t="str">
        <f t="shared" si="90"/>
        <v>-</v>
      </c>
      <c r="CX12" s="770">
        <f t="shared" si="91"/>
        <v>43724</v>
      </c>
      <c r="CY12" s="772">
        <f t="shared" si="92"/>
        <v>0</v>
      </c>
      <c r="CZ12" s="780">
        <f t="shared" si="93"/>
        <v>43724</v>
      </c>
      <c r="DA12" s="772"/>
      <c r="DB12" s="790"/>
      <c r="DC12" s="408" t="s">
        <v>49</v>
      </c>
      <c r="DD12" s="447">
        <f>BudgetedData!J5</f>
        <v>46884</v>
      </c>
      <c r="DE12" s="447">
        <f>Data!C165</f>
        <v>0</v>
      </c>
      <c r="DF12" s="447">
        <f>Data!D165</f>
        <v>0</v>
      </c>
      <c r="DG12" s="447">
        <f>Data!E165</f>
        <v>0</v>
      </c>
      <c r="DH12" s="152">
        <f>+DE12+DF12-DG12</f>
        <v>0</v>
      </c>
      <c r="DI12" s="779" t="str">
        <f t="shared" si="94"/>
        <v>-</v>
      </c>
      <c r="DJ12" s="779" t="str">
        <f t="shared" si="95"/>
        <v>-</v>
      </c>
      <c r="DK12" s="770">
        <f t="shared" si="96"/>
        <v>46884</v>
      </c>
      <c r="DL12" s="772">
        <f t="shared" si="97"/>
        <v>0</v>
      </c>
      <c r="DM12" s="780">
        <f t="shared" si="98"/>
        <v>46884</v>
      </c>
      <c r="DN12" s="772"/>
      <c r="DO12" s="791"/>
      <c r="DP12" s="408" t="s">
        <v>49</v>
      </c>
      <c r="DQ12" s="447">
        <f>BudgetedData!K5</f>
        <v>46032</v>
      </c>
      <c r="DR12" s="447">
        <f>Data!C185</f>
        <v>0</v>
      </c>
      <c r="DS12" s="447">
        <f>Data!D185</f>
        <v>0</v>
      </c>
      <c r="DT12" s="447">
        <f>Data!E185</f>
        <v>0</v>
      </c>
      <c r="DU12" s="152">
        <f t="shared" si="40"/>
        <v>0</v>
      </c>
      <c r="DV12" s="779" t="str">
        <f t="shared" si="99"/>
        <v>-</v>
      </c>
      <c r="DW12" s="779" t="str">
        <f t="shared" si="100"/>
        <v>-</v>
      </c>
      <c r="DX12" s="770">
        <f t="shared" si="101"/>
        <v>46032</v>
      </c>
      <c r="DY12" s="772">
        <f t="shared" si="102"/>
        <v>0</v>
      </c>
      <c r="DZ12" s="780">
        <f t="shared" si="103"/>
        <v>46032</v>
      </c>
      <c r="EA12" s="772"/>
      <c r="EB12" s="429"/>
      <c r="EC12" s="408" t="s">
        <v>49</v>
      </c>
      <c r="ED12" s="447">
        <f>BudgetedData!L5</f>
        <v>45426</v>
      </c>
      <c r="EE12" s="447">
        <f>Data!C205</f>
        <v>0</v>
      </c>
      <c r="EF12" s="447">
        <f>Data!D205</f>
        <v>0</v>
      </c>
      <c r="EG12" s="447">
        <f>Data!E205</f>
        <v>0</v>
      </c>
      <c r="EH12" s="152">
        <f t="shared" si="45"/>
        <v>0</v>
      </c>
      <c r="EI12" s="779" t="str">
        <f t="shared" si="104"/>
        <v>-</v>
      </c>
      <c r="EJ12" s="779" t="str">
        <f t="shared" si="105"/>
        <v>-</v>
      </c>
      <c r="EK12" s="770">
        <f t="shared" si="106"/>
        <v>45426</v>
      </c>
      <c r="EL12" s="772">
        <f t="shared" si="107"/>
        <v>0</v>
      </c>
      <c r="EM12" s="780">
        <f t="shared" si="108"/>
        <v>45426</v>
      </c>
      <c r="EN12" s="770"/>
      <c r="EO12" s="792"/>
      <c r="EP12" s="408" t="s">
        <v>49</v>
      </c>
      <c r="EQ12" s="447">
        <f>BudgetedData!M5</f>
        <v>46032</v>
      </c>
      <c r="ER12" s="447">
        <f>Data!C225</f>
        <v>0</v>
      </c>
      <c r="ES12" s="447">
        <f>Data!D225</f>
        <v>0</v>
      </c>
      <c r="ET12" s="447">
        <f>Data!E225</f>
        <v>0</v>
      </c>
      <c r="EU12" s="152">
        <f t="shared" si="50"/>
        <v>0</v>
      </c>
      <c r="EV12" s="779" t="str">
        <f t="shared" si="109"/>
        <v>-</v>
      </c>
      <c r="EW12" s="779" t="str">
        <f t="shared" si="110"/>
        <v>-</v>
      </c>
      <c r="EX12" s="770">
        <f t="shared" si="111"/>
        <v>46032</v>
      </c>
      <c r="EY12" s="772">
        <f t="shared" si="112"/>
        <v>0</v>
      </c>
      <c r="EZ12" s="780">
        <f t="shared" si="113"/>
        <v>46032</v>
      </c>
      <c r="FA12" s="776"/>
    </row>
    <row r="13" spans="1:157" s="208" customFormat="1" ht="15" customHeight="1">
      <c r="A13" s="780"/>
      <c r="B13" s="778"/>
      <c r="C13" s="408"/>
      <c r="D13" s="386"/>
      <c r="E13" s="447"/>
      <c r="F13" s="447"/>
      <c r="G13" s="447"/>
      <c r="H13" s="152"/>
      <c r="I13" s="779"/>
      <c r="J13" s="779"/>
      <c r="K13" s="770"/>
      <c r="L13" s="772"/>
      <c r="M13" s="780"/>
      <c r="N13" s="770"/>
      <c r="O13" s="793"/>
      <c r="P13" s="408"/>
      <c r="Q13" s="439"/>
      <c r="R13" s="419"/>
      <c r="S13" s="447"/>
      <c r="T13" s="419"/>
      <c r="U13" s="152"/>
      <c r="V13" s="779"/>
      <c r="W13" s="779"/>
      <c r="X13" s="770"/>
      <c r="Y13" s="772"/>
      <c r="Z13" s="780"/>
      <c r="AA13" s="770"/>
      <c r="AB13" s="783"/>
      <c r="AC13" s="408"/>
      <c r="AD13" s="447"/>
      <c r="AE13" s="447"/>
      <c r="AF13" s="447"/>
      <c r="AG13" s="447"/>
      <c r="AH13" s="152"/>
      <c r="AI13" s="779"/>
      <c r="AJ13" s="779"/>
      <c r="AK13" s="770"/>
      <c r="AL13" s="772"/>
      <c r="AM13" s="780"/>
      <c r="AN13" s="770"/>
      <c r="AO13" s="784"/>
      <c r="AP13" s="408"/>
      <c r="AQ13" s="447"/>
      <c r="AR13" s="447"/>
      <c r="AS13" s="447"/>
      <c r="AT13" s="447"/>
      <c r="AU13" s="152"/>
      <c r="AV13" s="779"/>
      <c r="AW13" s="779"/>
      <c r="AX13" s="770"/>
      <c r="AY13" s="772"/>
      <c r="AZ13" s="780"/>
      <c r="BA13" s="772"/>
      <c r="BB13" s="786"/>
      <c r="BC13" s="408"/>
      <c r="BD13" s="447"/>
      <c r="BE13" s="447"/>
      <c r="BF13" s="447"/>
      <c r="BG13" s="447"/>
      <c r="BH13" s="152"/>
      <c r="BI13" s="779"/>
      <c r="BJ13" s="779"/>
      <c r="BK13" s="770"/>
      <c r="BL13" s="772"/>
      <c r="BM13" s="780"/>
      <c r="BN13" s="772"/>
      <c r="BO13" s="787"/>
      <c r="BP13" s="408"/>
      <c r="BQ13" s="447"/>
      <c r="BR13" s="447"/>
      <c r="BS13" s="447"/>
      <c r="BT13" s="447"/>
      <c r="BU13" s="152"/>
      <c r="BV13" s="779"/>
      <c r="BW13" s="779"/>
      <c r="BX13" s="770"/>
      <c r="BY13" s="772"/>
      <c r="BZ13" s="780"/>
      <c r="CA13" s="772"/>
      <c r="CB13" s="794"/>
      <c r="CC13" s="408"/>
      <c r="CD13" s="447"/>
      <c r="CE13" s="447"/>
      <c r="CF13" s="447"/>
      <c r="CG13" s="447"/>
      <c r="CH13" s="152"/>
      <c r="CI13" s="779"/>
      <c r="CJ13" s="779"/>
      <c r="CK13" s="770"/>
      <c r="CL13" s="772"/>
      <c r="CM13" s="780"/>
      <c r="CN13" s="772"/>
      <c r="CO13" s="789"/>
      <c r="CP13" s="408"/>
      <c r="CQ13" s="447"/>
      <c r="CR13" s="447"/>
      <c r="CS13" s="447"/>
      <c r="CT13" s="447"/>
      <c r="CU13" s="152"/>
      <c r="CV13" s="779"/>
      <c r="CW13" s="779"/>
      <c r="CX13" s="770"/>
      <c r="CY13" s="772"/>
      <c r="CZ13" s="780"/>
      <c r="DA13" s="772"/>
      <c r="DB13" s="790"/>
      <c r="DC13" s="408"/>
      <c r="DD13" s="447"/>
      <c r="DE13" s="447"/>
      <c r="DF13" s="447"/>
      <c r="DG13" s="447"/>
      <c r="DH13" s="152"/>
      <c r="DI13" s="779"/>
      <c r="DJ13" s="779"/>
      <c r="DK13" s="770"/>
      <c r="DL13" s="772"/>
      <c r="DM13" s="780"/>
      <c r="DN13" s="772"/>
      <c r="DO13" s="791"/>
      <c r="DP13" s="408"/>
      <c r="DQ13" s="447"/>
      <c r="DR13" s="447"/>
      <c r="DS13" s="447"/>
      <c r="DT13" s="447"/>
      <c r="DU13" s="152"/>
      <c r="DV13" s="779"/>
      <c r="DW13" s="779"/>
      <c r="DX13" s="770"/>
      <c r="DY13" s="772"/>
      <c r="DZ13" s="780"/>
      <c r="EA13" s="772"/>
      <c r="EB13" s="429"/>
      <c r="EC13" s="408"/>
      <c r="ED13" s="447"/>
      <c r="EE13" s="447"/>
      <c r="EF13" s="447"/>
      <c r="EG13" s="447"/>
      <c r="EH13" s="152"/>
      <c r="EI13" s="779"/>
      <c r="EJ13" s="779"/>
      <c r="EK13" s="770"/>
      <c r="EL13" s="772"/>
      <c r="EM13" s="780"/>
      <c r="EN13" s="770"/>
      <c r="EO13" s="792"/>
      <c r="EP13" s="408"/>
      <c r="EQ13" s="447"/>
      <c r="ER13" s="447"/>
      <c r="ES13" s="447"/>
      <c r="ET13" s="447"/>
      <c r="EU13" s="152"/>
      <c r="EV13" s="779"/>
      <c r="EW13" s="779"/>
      <c r="EX13" s="770"/>
      <c r="EY13" s="772"/>
      <c r="EZ13" s="780"/>
      <c r="FA13" s="776"/>
    </row>
    <row r="14" spans="1:157" s="208" customFormat="1" ht="15" customHeight="1">
      <c r="A14" s="780"/>
      <c r="B14" s="778"/>
      <c r="C14" s="408" t="s">
        <v>50</v>
      </c>
      <c r="D14" s="386">
        <f>BudgetedData!B6</f>
        <v>55622</v>
      </c>
      <c r="E14" s="447">
        <f>Data!C7</f>
        <v>54239.720000000023</v>
      </c>
      <c r="F14" s="447">
        <f>Data!D7</f>
        <v>721.13339999999994</v>
      </c>
      <c r="G14" s="447">
        <f>Data!E7</f>
        <v>1898.8500000000001</v>
      </c>
      <c r="H14" s="152">
        <f t="shared" si="0"/>
        <v>53062.003400000023</v>
      </c>
      <c r="I14" s="779">
        <f t="shared" si="55"/>
        <v>0.97828682375204001</v>
      </c>
      <c r="J14" s="779">
        <f t="shared" si="56"/>
        <v>3.5008477182404324E-2</v>
      </c>
      <c r="K14" s="770">
        <f t="shared" si="57"/>
        <v>1382.279999999977</v>
      </c>
      <c r="L14" s="772">
        <f t="shared" si="58"/>
        <v>1177.7165999999997</v>
      </c>
      <c r="M14" s="780">
        <f t="shared" si="59"/>
        <v>2559.9965999999768</v>
      </c>
      <c r="N14" s="770"/>
      <c r="O14" s="793"/>
      <c r="P14" s="408" t="s">
        <v>50</v>
      </c>
      <c r="Q14" s="439">
        <f>BudgetedData!C6</f>
        <v>55888</v>
      </c>
      <c r="R14" s="419">
        <f>Data!C27</f>
        <v>54621.450000000004</v>
      </c>
      <c r="S14" s="447">
        <f>Data!D27</f>
        <v>892.45010000000002</v>
      </c>
      <c r="T14" s="419">
        <f>Data!E27</f>
        <v>1951.4</v>
      </c>
      <c r="U14" s="152">
        <f t="shared" si="5"/>
        <v>53562.500100000005</v>
      </c>
      <c r="V14" s="779">
        <f t="shared" si="60"/>
        <v>0.98061292953592405</v>
      </c>
      <c r="W14" s="779">
        <f t="shared" si="61"/>
        <v>3.5725891568239215E-2</v>
      </c>
      <c r="X14" s="770">
        <f t="shared" si="62"/>
        <v>1266.5499999999956</v>
      </c>
      <c r="Y14" s="772">
        <f t="shared" si="63"/>
        <v>1058.9498999999996</v>
      </c>
      <c r="Z14" s="780">
        <f t="shared" si="64"/>
        <v>2325.4998999999953</v>
      </c>
      <c r="AA14" s="770"/>
      <c r="AB14" s="783"/>
      <c r="AC14" s="408" t="s">
        <v>50</v>
      </c>
      <c r="AD14" s="447">
        <f>BudgetedData!D6</f>
        <v>52804</v>
      </c>
      <c r="AE14" s="447">
        <f>Data!C47</f>
        <v>51196.930000000015</v>
      </c>
      <c r="AF14" s="447">
        <f>Data!D47</f>
        <v>1026.0832300000002</v>
      </c>
      <c r="AG14" s="447">
        <f>Data!E47</f>
        <v>2549.2333333333331</v>
      </c>
      <c r="AH14" s="152">
        <f t="shared" si="10"/>
        <v>49673.779896666681</v>
      </c>
      <c r="AI14" s="779">
        <f t="shared" si="11"/>
        <v>0.97024919065785131</v>
      </c>
      <c r="AJ14" s="779">
        <f t="shared" si="65"/>
        <v>4.9792699158588853E-2</v>
      </c>
      <c r="AK14" s="770">
        <f t="shared" si="66"/>
        <v>1607.0699999999852</v>
      </c>
      <c r="AL14" s="772">
        <f t="shared" si="67"/>
        <v>1523.1501033333334</v>
      </c>
      <c r="AM14" s="780">
        <f t="shared" si="68"/>
        <v>3130.2201033333185</v>
      </c>
      <c r="AN14" s="770"/>
      <c r="AO14" s="784"/>
      <c r="AP14" s="408" t="s">
        <v>50</v>
      </c>
      <c r="AQ14" s="447">
        <f>BudgetedData!E6</f>
        <v>54802</v>
      </c>
      <c r="AR14" s="447">
        <f>Data!C67</f>
        <v>53713.770000000011</v>
      </c>
      <c r="AS14" s="447">
        <f>Data!D67</f>
        <v>1084.9668999999999</v>
      </c>
      <c r="AT14" s="447">
        <f>Data!E67</f>
        <v>2877.9348</v>
      </c>
      <c r="AU14" s="152">
        <f t="shared" si="69"/>
        <v>51920.802100000008</v>
      </c>
      <c r="AV14" s="779">
        <f t="shared" si="15"/>
        <v>0.96661995797353262</v>
      </c>
      <c r="AW14" s="779">
        <f t="shared" si="70"/>
        <v>5.3579087820497417E-2</v>
      </c>
      <c r="AX14" s="770">
        <f t="shared" si="71"/>
        <v>1088.2299999999886</v>
      </c>
      <c r="AY14" s="772">
        <f t="shared" si="72"/>
        <v>1792.9679000000033</v>
      </c>
      <c r="AZ14" s="780">
        <f t="shared" si="73"/>
        <v>2881.1978999999919</v>
      </c>
      <c r="BA14" s="772"/>
      <c r="BB14" s="786"/>
      <c r="BC14" s="408" t="s">
        <v>50</v>
      </c>
      <c r="BD14" s="447">
        <f>BudgetedData!F6</f>
        <v>53070</v>
      </c>
      <c r="BE14" s="447">
        <f>Data!C87</f>
        <v>0</v>
      </c>
      <c r="BF14" s="447">
        <f>Data!D87</f>
        <v>0</v>
      </c>
      <c r="BG14" s="447">
        <f>Data!E87</f>
        <v>0</v>
      </c>
      <c r="BH14" s="152">
        <f t="shared" si="19"/>
        <v>0</v>
      </c>
      <c r="BI14" s="779" t="str">
        <f t="shared" si="74"/>
        <v>-</v>
      </c>
      <c r="BJ14" s="779" t="str">
        <f t="shared" si="75"/>
        <v>-</v>
      </c>
      <c r="BK14" s="770">
        <f t="shared" si="76"/>
        <v>53070</v>
      </c>
      <c r="BL14" s="772">
        <f t="shared" si="77"/>
        <v>0</v>
      </c>
      <c r="BM14" s="780">
        <f t="shared" si="78"/>
        <v>53070</v>
      </c>
      <c r="BN14" s="772"/>
      <c r="BO14" s="787"/>
      <c r="BP14" s="408" t="s">
        <v>50</v>
      </c>
      <c r="BQ14" s="447">
        <f>BudgetedData!G6</f>
        <v>54802</v>
      </c>
      <c r="BR14" s="447">
        <f>Data!C107</f>
        <v>0</v>
      </c>
      <c r="BS14" s="447">
        <f>Data!D107</f>
        <v>0</v>
      </c>
      <c r="BT14" s="447">
        <f>Data!E107</f>
        <v>0</v>
      </c>
      <c r="BU14" s="152">
        <f t="shared" si="24"/>
        <v>0</v>
      </c>
      <c r="BV14" s="779" t="str">
        <f t="shared" si="79"/>
        <v>-</v>
      </c>
      <c r="BW14" s="779" t="str">
        <f t="shared" si="80"/>
        <v>-</v>
      </c>
      <c r="BX14" s="770">
        <f t="shared" si="81"/>
        <v>54802</v>
      </c>
      <c r="BY14" s="772">
        <f t="shared" si="82"/>
        <v>0</v>
      </c>
      <c r="BZ14" s="780">
        <f t="shared" si="83"/>
        <v>54802</v>
      </c>
      <c r="CA14" s="772"/>
      <c r="CB14" s="794"/>
      <c r="CC14" s="408" t="s">
        <v>50</v>
      </c>
      <c r="CD14" s="447">
        <f>BudgetedData!H6</f>
        <v>54802</v>
      </c>
      <c r="CE14" s="447">
        <f>Data!C127</f>
        <v>0</v>
      </c>
      <c r="CF14" s="447">
        <f>Data!D127</f>
        <v>0</v>
      </c>
      <c r="CG14" s="447">
        <f>Data!E127</f>
        <v>0</v>
      </c>
      <c r="CH14" s="152">
        <f t="shared" si="29"/>
        <v>0</v>
      </c>
      <c r="CI14" s="779" t="str">
        <f t="shared" si="84"/>
        <v>-</v>
      </c>
      <c r="CJ14" s="779" t="str">
        <f t="shared" si="85"/>
        <v>-</v>
      </c>
      <c r="CK14" s="770">
        <f t="shared" si="86"/>
        <v>54802</v>
      </c>
      <c r="CL14" s="772">
        <f t="shared" si="87"/>
        <v>0</v>
      </c>
      <c r="CM14" s="780">
        <f t="shared" si="88"/>
        <v>54802</v>
      </c>
      <c r="CN14" s="772"/>
      <c r="CO14" s="789"/>
      <c r="CP14" s="408" t="s">
        <v>50</v>
      </c>
      <c r="CQ14" s="447">
        <f>BudgetedData!I6</f>
        <v>51892</v>
      </c>
      <c r="CR14" s="447">
        <f>Data!C147</f>
        <v>0</v>
      </c>
      <c r="CS14" s="447">
        <f>Data!D147</f>
        <v>0</v>
      </c>
      <c r="CT14" s="447">
        <f>Data!E147</f>
        <v>0</v>
      </c>
      <c r="CU14" s="152">
        <f t="shared" si="34"/>
        <v>0</v>
      </c>
      <c r="CV14" s="779" t="str">
        <f t="shared" si="89"/>
        <v>-</v>
      </c>
      <c r="CW14" s="779" t="str">
        <f t="shared" si="90"/>
        <v>-</v>
      </c>
      <c r="CX14" s="770">
        <f t="shared" si="91"/>
        <v>51892</v>
      </c>
      <c r="CY14" s="772">
        <f t="shared" si="92"/>
        <v>0</v>
      </c>
      <c r="CZ14" s="780">
        <f t="shared" si="93"/>
        <v>51892</v>
      </c>
      <c r="DA14" s="772"/>
      <c r="DB14" s="790"/>
      <c r="DC14" s="408" t="s">
        <v>50</v>
      </c>
      <c r="DD14" s="447">
        <f>BudgetedData!J6</f>
        <v>55622</v>
      </c>
      <c r="DE14" s="447">
        <f>Data!C167</f>
        <v>0</v>
      </c>
      <c r="DF14" s="447">
        <f>Data!D167</f>
        <v>0</v>
      </c>
      <c r="DG14" s="447">
        <f>Data!E167</f>
        <v>0</v>
      </c>
      <c r="DH14" s="152">
        <f t="shared" ref="DH14:DH26" si="114">+DE14+DF14-DG14</f>
        <v>0</v>
      </c>
      <c r="DI14" s="779" t="str">
        <f t="shared" si="94"/>
        <v>-</v>
      </c>
      <c r="DJ14" s="779" t="str">
        <f t="shared" si="95"/>
        <v>-</v>
      </c>
      <c r="DK14" s="770">
        <f t="shared" si="96"/>
        <v>55622</v>
      </c>
      <c r="DL14" s="772">
        <f t="shared" si="97"/>
        <v>0</v>
      </c>
      <c r="DM14" s="780">
        <f t="shared" si="98"/>
        <v>55622</v>
      </c>
      <c r="DN14" s="772"/>
      <c r="DO14" s="791"/>
      <c r="DP14" s="408" t="s">
        <v>50</v>
      </c>
      <c r="DQ14" s="447">
        <f>BudgetedData!K6</f>
        <v>54444</v>
      </c>
      <c r="DR14" s="447">
        <f>Data!C187</f>
        <v>0</v>
      </c>
      <c r="DS14" s="447">
        <f>Data!D187</f>
        <v>0</v>
      </c>
      <c r="DT14" s="447">
        <f>Data!E187</f>
        <v>0</v>
      </c>
      <c r="DU14" s="152">
        <f t="shared" si="40"/>
        <v>0</v>
      </c>
      <c r="DV14" s="779" t="str">
        <f t="shared" si="99"/>
        <v>-</v>
      </c>
      <c r="DW14" s="779" t="str">
        <f t="shared" si="100"/>
        <v>-</v>
      </c>
      <c r="DX14" s="770">
        <f t="shared" si="101"/>
        <v>54444</v>
      </c>
      <c r="DY14" s="772">
        <f t="shared" si="102"/>
        <v>0</v>
      </c>
      <c r="DZ14" s="780">
        <f t="shared" si="103"/>
        <v>54444</v>
      </c>
      <c r="EA14" s="772"/>
      <c r="EB14" s="429"/>
      <c r="EC14" s="408" t="s">
        <v>50</v>
      </c>
      <c r="ED14" s="447">
        <f>BudgetedData!L6</f>
        <v>54248</v>
      </c>
      <c r="EE14" s="447">
        <f>Data!C207</f>
        <v>0</v>
      </c>
      <c r="EF14" s="447">
        <f>Data!D207</f>
        <v>0</v>
      </c>
      <c r="EG14" s="447">
        <f>Data!E207</f>
        <v>0</v>
      </c>
      <c r="EH14" s="152">
        <f t="shared" si="45"/>
        <v>0</v>
      </c>
      <c r="EI14" s="779" t="str">
        <f t="shared" si="104"/>
        <v>-</v>
      </c>
      <c r="EJ14" s="779" t="str">
        <f t="shared" si="105"/>
        <v>-</v>
      </c>
      <c r="EK14" s="770">
        <f t="shared" si="106"/>
        <v>54248</v>
      </c>
      <c r="EL14" s="772">
        <f t="shared" si="107"/>
        <v>0</v>
      </c>
      <c r="EM14" s="780">
        <f t="shared" si="108"/>
        <v>54248</v>
      </c>
      <c r="EN14" s="770"/>
      <c r="EO14" s="792"/>
      <c r="EP14" s="408" t="s">
        <v>50</v>
      </c>
      <c r="EQ14" s="447">
        <f>BudgetedData!M6</f>
        <v>54444</v>
      </c>
      <c r="ER14" s="447">
        <f>Data!C227</f>
        <v>0</v>
      </c>
      <c r="ES14" s="447">
        <f>Data!D227</f>
        <v>0</v>
      </c>
      <c r="ET14" s="447">
        <f>Data!E227</f>
        <v>0</v>
      </c>
      <c r="EU14" s="152">
        <f t="shared" si="50"/>
        <v>0</v>
      </c>
      <c r="EV14" s="779" t="str">
        <f t="shared" si="109"/>
        <v>-</v>
      </c>
      <c r="EW14" s="779" t="str">
        <f t="shared" si="110"/>
        <v>-</v>
      </c>
      <c r="EX14" s="770">
        <f t="shared" si="111"/>
        <v>54444</v>
      </c>
      <c r="EY14" s="772">
        <f t="shared" si="112"/>
        <v>0</v>
      </c>
      <c r="EZ14" s="780">
        <f t="shared" si="113"/>
        <v>54444</v>
      </c>
      <c r="FA14" s="776"/>
    </row>
    <row r="15" spans="1:157" s="208" customFormat="1" ht="15" customHeight="1">
      <c r="A15" s="780"/>
      <c r="B15" s="778"/>
      <c r="C15" s="408"/>
      <c r="D15" s="386"/>
      <c r="E15" s="447"/>
      <c r="F15" s="447"/>
      <c r="G15" s="447"/>
      <c r="H15" s="152"/>
      <c r="I15" s="779"/>
      <c r="J15" s="779"/>
      <c r="K15" s="770"/>
      <c r="L15" s="772"/>
      <c r="M15" s="780"/>
      <c r="N15" s="770"/>
      <c r="O15" s="793"/>
      <c r="P15" s="408"/>
      <c r="Q15" s="439"/>
      <c r="R15" s="419"/>
      <c r="S15" s="447"/>
      <c r="T15" s="419"/>
      <c r="U15" s="152"/>
      <c r="V15" s="779"/>
      <c r="W15" s="779"/>
      <c r="X15" s="770"/>
      <c r="Y15" s="772"/>
      <c r="Z15" s="780"/>
      <c r="AA15" s="770"/>
      <c r="AB15" s="783"/>
      <c r="AC15" s="408"/>
      <c r="AD15" s="447"/>
      <c r="AE15" s="447"/>
      <c r="AF15" s="447"/>
      <c r="AG15" s="447"/>
      <c r="AH15" s="152"/>
      <c r="AI15" s="779"/>
      <c r="AJ15" s="779"/>
      <c r="AK15" s="770"/>
      <c r="AL15" s="772"/>
      <c r="AM15" s="780"/>
      <c r="AN15" s="770"/>
      <c r="AO15" s="784"/>
      <c r="AP15" s="408"/>
      <c r="AQ15" s="447"/>
      <c r="AR15" s="447"/>
      <c r="AS15" s="447"/>
      <c r="AT15" s="447"/>
      <c r="AU15" s="152"/>
      <c r="AV15" s="779"/>
      <c r="AW15" s="779"/>
      <c r="AX15" s="770"/>
      <c r="AY15" s="772"/>
      <c r="AZ15" s="780"/>
      <c r="BA15" s="772"/>
      <c r="BB15" s="786"/>
      <c r="BC15" s="408"/>
      <c r="BD15" s="447"/>
      <c r="BE15" s="447"/>
      <c r="BF15" s="447"/>
      <c r="BG15" s="447"/>
      <c r="BH15" s="152"/>
      <c r="BI15" s="779"/>
      <c r="BJ15" s="779"/>
      <c r="BK15" s="770"/>
      <c r="BL15" s="772"/>
      <c r="BM15" s="780"/>
      <c r="BN15" s="772"/>
      <c r="BO15" s="787"/>
      <c r="BP15" s="408"/>
      <c r="BQ15" s="447"/>
      <c r="BR15" s="447"/>
      <c r="BS15" s="447"/>
      <c r="BT15" s="447"/>
      <c r="BU15" s="152"/>
      <c r="BV15" s="779"/>
      <c r="BW15" s="779"/>
      <c r="BX15" s="770"/>
      <c r="BY15" s="772"/>
      <c r="BZ15" s="780"/>
      <c r="CA15" s="772"/>
      <c r="CB15" s="794"/>
      <c r="CC15" s="408"/>
      <c r="CD15" s="447"/>
      <c r="CE15" s="447"/>
      <c r="CF15" s="447"/>
      <c r="CG15" s="447"/>
      <c r="CH15" s="152"/>
      <c r="CI15" s="779"/>
      <c r="CJ15" s="779"/>
      <c r="CK15" s="770"/>
      <c r="CL15" s="772"/>
      <c r="CM15" s="780"/>
      <c r="CN15" s="772"/>
      <c r="CO15" s="789"/>
      <c r="CP15" s="408"/>
      <c r="CQ15" s="447"/>
      <c r="CR15" s="447"/>
      <c r="CS15" s="447"/>
      <c r="CT15" s="447"/>
      <c r="CU15" s="152"/>
      <c r="CV15" s="779"/>
      <c r="CW15" s="779"/>
      <c r="CX15" s="770"/>
      <c r="CY15" s="772"/>
      <c r="CZ15" s="780"/>
      <c r="DA15" s="772"/>
      <c r="DB15" s="790"/>
      <c r="DC15" s="408"/>
      <c r="DD15" s="447"/>
      <c r="DE15" s="447"/>
      <c r="DF15" s="447"/>
      <c r="DG15" s="447"/>
      <c r="DH15" s="152"/>
      <c r="DI15" s="779"/>
      <c r="DJ15" s="779"/>
      <c r="DK15" s="770"/>
      <c r="DL15" s="772"/>
      <c r="DM15" s="780"/>
      <c r="DN15" s="772"/>
      <c r="DO15" s="791"/>
      <c r="DP15" s="408"/>
      <c r="DQ15" s="447"/>
      <c r="DR15" s="447"/>
      <c r="DS15" s="447"/>
      <c r="DT15" s="447"/>
      <c r="DU15" s="152"/>
      <c r="DV15" s="779"/>
      <c r="DW15" s="779"/>
      <c r="DX15" s="770"/>
      <c r="DY15" s="772"/>
      <c r="DZ15" s="780"/>
      <c r="EA15" s="772"/>
      <c r="EB15" s="429"/>
      <c r="EC15" s="408"/>
      <c r="ED15" s="447"/>
      <c r="EE15" s="447"/>
      <c r="EF15" s="447"/>
      <c r="EG15" s="447"/>
      <c r="EH15" s="152"/>
      <c r="EI15" s="779"/>
      <c r="EJ15" s="779"/>
      <c r="EK15" s="770"/>
      <c r="EL15" s="772"/>
      <c r="EM15" s="780"/>
      <c r="EN15" s="770"/>
      <c r="EO15" s="792"/>
      <c r="EP15" s="408"/>
      <c r="EQ15" s="447"/>
      <c r="ER15" s="447"/>
      <c r="ES15" s="447"/>
      <c r="ET15" s="447"/>
      <c r="EU15" s="152"/>
      <c r="EV15" s="779"/>
      <c r="EW15" s="779"/>
      <c r="EX15" s="770"/>
      <c r="EY15" s="772"/>
      <c r="EZ15" s="780"/>
      <c r="FA15" s="776"/>
    </row>
    <row r="16" spans="1:157" s="208" customFormat="1" ht="15" customHeight="1">
      <c r="A16" s="777"/>
      <c r="B16" s="778"/>
      <c r="C16" s="408" t="s">
        <v>51</v>
      </c>
      <c r="D16" s="386">
        <f>BudgetedData!B7</f>
        <v>47605</v>
      </c>
      <c r="E16" s="447">
        <f>Data!C8</f>
        <v>47640.049999999996</v>
      </c>
      <c r="F16" s="447">
        <f>Data!D8</f>
        <v>205.48333</v>
      </c>
      <c r="G16" s="447">
        <f>Data!E8</f>
        <v>378.29999999999995</v>
      </c>
      <c r="H16" s="152">
        <f t="shared" si="0"/>
        <v>47467.233329999995</v>
      </c>
      <c r="I16" s="779">
        <f t="shared" si="55"/>
        <v>0.99637244986098883</v>
      </c>
      <c r="J16" s="779">
        <f t="shared" si="56"/>
        <v>7.9407977111694891E-3</v>
      </c>
      <c r="K16" s="770">
        <f t="shared" si="57"/>
        <v>-35.049999999995634</v>
      </c>
      <c r="L16" s="772">
        <f t="shared" si="58"/>
        <v>172.81667000000016</v>
      </c>
      <c r="M16" s="780">
        <f t="shared" si="59"/>
        <v>137.76667000000452</v>
      </c>
      <c r="N16" s="781"/>
      <c r="O16" s="793"/>
      <c r="P16" s="408" t="s">
        <v>51</v>
      </c>
      <c r="Q16" s="439">
        <f>BudgetedData!C7</f>
        <v>47756</v>
      </c>
      <c r="R16" s="419">
        <f>Data!C28</f>
        <v>48009.82</v>
      </c>
      <c r="S16" s="447">
        <f>Data!D28</f>
        <v>262.21661000000006</v>
      </c>
      <c r="T16" s="419">
        <f>Data!E28</f>
        <v>461.96666666666658</v>
      </c>
      <c r="U16" s="152">
        <f t="shared" si="5"/>
        <v>47810.069943333336</v>
      </c>
      <c r="V16" s="779">
        <f t="shared" si="60"/>
        <v>0.99583939167723057</v>
      </c>
      <c r="W16" s="779">
        <f t="shared" si="61"/>
        <v>9.6223369857805462E-3</v>
      </c>
      <c r="X16" s="770">
        <f t="shared" si="62"/>
        <v>-253.81999999999971</v>
      </c>
      <c r="Y16" s="772">
        <f t="shared" si="63"/>
        <v>199.75005666666402</v>
      </c>
      <c r="Z16" s="780">
        <f t="shared" si="64"/>
        <v>-54.069943333335686</v>
      </c>
      <c r="AA16" s="781"/>
      <c r="AB16" s="783"/>
      <c r="AC16" s="408" t="s">
        <v>51</v>
      </c>
      <c r="AD16" s="447">
        <f>BudgetedData!D7</f>
        <v>44899</v>
      </c>
      <c r="AE16" s="447">
        <f>Data!C48</f>
        <v>45374.310999999987</v>
      </c>
      <c r="AF16" s="447">
        <f>Data!D48</f>
        <v>345.19994000000003</v>
      </c>
      <c r="AG16" s="447">
        <f>Data!E48</f>
        <v>389.88333333333333</v>
      </c>
      <c r="AH16" s="152">
        <f t="shared" si="10"/>
        <v>45329.627606666654</v>
      </c>
      <c r="AI16" s="779">
        <f t="shared" si="11"/>
        <v>0.99901522706684553</v>
      </c>
      <c r="AJ16" s="779">
        <f t="shared" si="65"/>
        <v>8.5926006310780879E-3</v>
      </c>
      <c r="AK16" s="770">
        <f t="shared" si="66"/>
        <v>-475.31099999998696</v>
      </c>
      <c r="AL16" s="772">
        <f t="shared" si="67"/>
        <v>44.683393333332788</v>
      </c>
      <c r="AM16" s="780">
        <f t="shared" si="68"/>
        <v>-430.62760666665417</v>
      </c>
      <c r="AN16" s="781"/>
      <c r="AO16" s="784"/>
      <c r="AP16" s="408" t="s">
        <v>51</v>
      </c>
      <c r="AQ16" s="447">
        <f>BudgetedData!E7</f>
        <v>46683</v>
      </c>
      <c r="AR16" s="447">
        <f>Data!C68</f>
        <v>48459.946000000011</v>
      </c>
      <c r="AS16" s="447">
        <f>Data!D68</f>
        <v>415.23346999999995</v>
      </c>
      <c r="AT16" s="447">
        <f>Data!E68</f>
        <v>687.93366999999989</v>
      </c>
      <c r="AU16" s="152">
        <f t="shared" si="69"/>
        <v>48187.245800000012</v>
      </c>
      <c r="AV16" s="779">
        <f t="shared" si="15"/>
        <v>0.99437266809996039</v>
      </c>
      <c r="AW16" s="779">
        <f t="shared" si="70"/>
        <v>1.4195923165081524E-2</v>
      </c>
      <c r="AX16" s="770">
        <f t="shared" si="71"/>
        <v>-1776.9460000000108</v>
      </c>
      <c r="AY16" s="772">
        <f t="shared" si="72"/>
        <v>272.70019999999931</v>
      </c>
      <c r="AZ16" s="780">
        <f t="shared" si="73"/>
        <v>-1504.2458000000115</v>
      </c>
      <c r="BA16" s="785"/>
      <c r="BB16" s="786"/>
      <c r="BC16" s="408" t="s">
        <v>51</v>
      </c>
      <c r="BD16" s="447">
        <f>BudgetedData!F7</f>
        <v>45050</v>
      </c>
      <c r="BE16" s="447">
        <f>Data!C88</f>
        <v>0</v>
      </c>
      <c r="BF16" s="447">
        <f>Data!D88</f>
        <v>0</v>
      </c>
      <c r="BG16" s="447">
        <f>Data!E88</f>
        <v>0</v>
      </c>
      <c r="BH16" s="152">
        <f t="shared" si="19"/>
        <v>0</v>
      </c>
      <c r="BI16" s="779" t="str">
        <f t="shared" si="74"/>
        <v>-</v>
      </c>
      <c r="BJ16" s="779" t="str">
        <f t="shared" si="75"/>
        <v>-</v>
      </c>
      <c r="BK16" s="770">
        <f t="shared" si="76"/>
        <v>45050</v>
      </c>
      <c r="BL16" s="772">
        <f t="shared" si="77"/>
        <v>0</v>
      </c>
      <c r="BM16" s="780">
        <f t="shared" si="78"/>
        <v>45050</v>
      </c>
      <c r="BN16" s="785"/>
      <c r="BO16" s="787"/>
      <c r="BP16" s="408" t="s">
        <v>51</v>
      </c>
      <c r="BQ16" s="447">
        <f>BudgetedData!G7</f>
        <v>46683</v>
      </c>
      <c r="BR16" s="447">
        <f>Data!C108</f>
        <v>0</v>
      </c>
      <c r="BS16" s="447">
        <f>Data!D108</f>
        <v>0</v>
      </c>
      <c r="BT16" s="447">
        <f>Data!E108</f>
        <v>0</v>
      </c>
      <c r="BU16" s="152">
        <f t="shared" si="24"/>
        <v>0</v>
      </c>
      <c r="BV16" s="779" t="str">
        <f t="shared" si="79"/>
        <v>-</v>
      </c>
      <c r="BW16" s="779" t="str">
        <f t="shared" si="80"/>
        <v>-</v>
      </c>
      <c r="BX16" s="770">
        <f t="shared" si="81"/>
        <v>46683</v>
      </c>
      <c r="BY16" s="772">
        <f t="shared" si="82"/>
        <v>0</v>
      </c>
      <c r="BZ16" s="780">
        <f t="shared" si="83"/>
        <v>46683</v>
      </c>
      <c r="CA16" s="785"/>
      <c r="CB16" s="794"/>
      <c r="CC16" s="408" t="s">
        <v>51</v>
      </c>
      <c r="CD16" s="447">
        <f>BudgetedData!H7</f>
        <v>46683</v>
      </c>
      <c r="CE16" s="447">
        <f>Data!C128</f>
        <v>0</v>
      </c>
      <c r="CF16" s="447">
        <f>Data!D128</f>
        <v>0</v>
      </c>
      <c r="CG16" s="447">
        <f>Data!E128</f>
        <v>0</v>
      </c>
      <c r="CH16" s="152">
        <f t="shared" si="29"/>
        <v>0</v>
      </c>
      <c r="CI16" s="779" t="str">
        <f t="shared" si="84"/>
        <v>-</v>
      </c>
      <c r="CJ16" s="779" t="str">
        <f t="shared" si="85"/>
        <v>-</v>
      </c>
      <c r="CK16" s="770">
        <f t="shared" si="86"/>
        <v>46683</v>
      </c>
      <c r="CL16" s="772">
        <f t="shared" si="87"/>
        <v>0</v>
      </c>
      <c r="CM16" s="780">
        <f t="shared" si="88"/>
        <v>46683</v>
      </c>
      <c r="CN16" s="785"/>
      <c r="CO16" s="789"/>
      <c r="CP16" s="408" t="s">
        <v>51</v>
      </c>
      <c r="CQ16" s="447">
        <f>BudgetedData!I7</f>
        <v>44188</v>
      </c>
      <c r="CR16" s="447">
        <f>Data!C148</f>
        <v>0</v>
      </c>
      <c r="CS16" s="447">
        <f>Data!D148</f>
        <v>0</v>
      </c>
      <c r="CT16" s="447">
        <f>Data!E148</f>
        <v>0</v>
      </c>
      <c r="CU16" s="152">
        <f t="shared" si="34"/>
        <v>0</v>
      </c>
      <c r="CV16" s="779" t="str">
        <f t="shared" si="89"/>
        <v>-</v>
      </c>
      <c r="CW16" s="779" t="str">
        <f t="shared" si="90"/>
        <v>-</v>
      </c>
      <c r="CX16" s="770">
        <f t="shared" si="91"/>
        <v>44188</v>
      </c>
      <c r="CY16" s="772">
        <f t="shared" si="92"/>
        <v>0</v>
      </c>
      <c r="CZ16" s="780">
        <f t="shared" si="93"/>
        <v>44188</v>
      </c>
      <c r="DA16" s="785"/>
      <c r="DB16" s="790"/>
      <c r="DC16" s="408" t="s">
        <v>51</v>
      </c>
      <c r="DD16" s="447">
        <f>BudgetedData!J7</f>
        <v>47605</v>
      </c>
      <c r="DE16" s="447">
        <f>Data!C168</f>
        <v>0</v>
      </c>
      <c r="DF16" s="447">
        <f>Data!D168</f>
        <v>0</v>
      </c>
      <c r="DG16" s="447">
        <f>Data!E168</f>
        <v>0</v>
      </c>
      <c r="DH16" s="152">
        <f t="shared" si="114"/>
        <v>0</v>
      </c>
      <c r="DI16" s="779" t="str">
        <f t="shared" si="94"/>
        <v>-</v>
      </c>
      <c r="DJ16" s="779" t="str">
        <f t="shared" si="95"/>
        <v>-</v>
      </c>
      <c r="DK16" s="770">
        <f t="shared" si="96"/>
        <v>47605</v>
      </c>
      <c r="DL16" s="772">
        <f t="shared" si="97"/>
        <v>0</v>
      </c>
      <c r="DM16" s="780">
        <f t="shared" si="98"/>
        <v>47605</v>
      </c>
      <c r="DN16" s="785"/>
      <c r="DO16" s="791"/>
      <c r="DP16" s="408" t="s">
        <v>51</v>
      </c>
      <c r="DQ16" s="447">
        <f>BudgetedData!K7</f>
        <v>46744</v>
      </c>
      <c r="DR16" s="447">
        <f>Data!C188</f>
        <v>0</v>
      </c>
      <c r="DS16" s="447">
        <f>Data!D188</f>
        <v>0</v>
      </c>
      <c r="DT16" s="447">
        <f>Data!E188</f>
        <v>0</v>
      </c>
      <c r="DU16" s="152">
        <f t="shared" si="40"/>
        <v>0</v>
      </c>
      <c r="DV16" s="779" t="str">
        <f t="shared" si="99"/>
        <v>-</v>
      </c>
      <c r="DW16" s="779" t="str">
        <f t="shared" si="100"/>
        <v>-</v>
      </c>
      <c r="DX16" s="770">
        <f t="shared" si="101"/>
        <v>46744</v>
      </c>
      <c r="DY16" s="772">
        <f t="shared" si="102"/>
        <v>0</v>
      </c>
      <c r="DZ16" s="780">
        <f t="shared" si="103"/>
        <v>46744</v>
      </c>
      <c r="EA16" s="785"/>
      <c r="EB16" s="429"/>
      <c r="EC16" s="408" t="s">
        <v>51</v>
      </c>
      <c r="ED16" s="447">
        <f>BudgetedData!L7</f>
        <v>45911</v>
      </c>
      <c r="EE16" s="447">
        <f>Data!C208</f>
        <v>0</v>
      </c>
      <c r="EF16" s="447">
        <f>Data!D208</f>
        <v>0</v>
      </c>
      <c r="EG16" s="447">
        <f>Data!E208</f>
        <v>0</v>
      </c>
      <c r="EH16" s="152">
        <f t="shared" si="45"/>
        <v>0</v>
      </c>
      <c r="EI16" s="779" t="str">
        <f t="shared" si="104"/>
        <v>-</v>
      </c>
      <c r="EJ16" s="779" t="str">
        <f t="shared" si="105"/>
        <v>-</v>
      </c>
      <c r="EK16" s="770">
        <f t="shared" si="106"/>
        <v>45911</v>
      </c>
      <c r="EL16" s="772">
        <f t="shared" si="107"/>
        <v>0</v>
      </c>
      <c r="EM16" s="780">
        <f t="shared" si="108"/>
        <v>45911</v>
      </c>
      <c r="EN16" s="781"/>
      <c r="EO16" s="792"/>
      <c r="EP16" s="408" t="s">
        <v>51</v>
      </c>
      <c r="EQ16" s="447">
        <f>BudgetedData!M7</f>
        <v>46744</v>
      </c>
      <c r="ER16" s="447">
        <f>Data!C228</f>
        <v>0</v>
      </c>
      <c r="ES16" s="447">
        <f>Data!D228</f>
        <v>0</v>
      </c>
      <c r="ET16" s="447">
        <f>Data!E228</f>
        <v>0</v>
      </c>
      <c r="EU16" s="152">
        <f t="shared" si="50"/>
        <v>0</v>
      </c>
      <c r="EV16" s="779" t="str">
        <f t="shared" si="109"/>
        <v>-</v>
      </c>
      <c r="EW16" s="779" t="str">
        <f t="shared" si="110"/>
        <v>-</v>
      </c>
      <c r="EX16" s="770">
        <f t="shared" si="111"/>
        <v>46744</v>
      </c>
      <c r="EY16" s="772">
        <f t="shared" si="112"/>
        <v>0</v>
      </c>
      <c r="EZ16" s="780">
        <f t="shared" si="113"/>
        <v>46744</v>
      </c>
      <c r="FA16" s="776"/>
    </row>
    <row r="17" spans="1:167" s="208" customFormat="1" ht="15" customHeight="1">
      <c r="A17" s="777"/>
      <c r="B17" s="778"/>
      <c r="C17" s="408"/>
      <c r="D17" s="386"/>
      <c r="E17" s="447"/>
      <c r="F17" s="447"/>
      <c r="G17" s="447"/>
      <c r="H17" s="152"/>
      <c r="I17" s="779"/>
      <c r="J17" s="779"/>
      <c r="K17" s="770"/>
      <c r="L17" s="772"/>
      <c r="M17" s="780"/>
      <c r="N17" s="781"/>
      <c r="O17" s="793"/>
      <c r="P17" s="408"/>
      <c r="Q17" s="439"/>
      <c r="R17" s="419"/>
      <c r="S17" s="447"/>
      <c r="T17" s="419"/>
      <c r="U17" s="152"/>
      <c r="V17" s="779"/>
      <c r="W17" s="779"/>
      <c r="X17" s="770"/>
      <c r="Y17" s="772"/>
      <c r="Z17" s="780"/>
      <c r="AA17" s="781"/>
      <c r="AB17" s="783"/>
      <c r="AC17" s="408"/>
      <c r="AD17" s="447"/>
      <c r="AE17" s="447"/>
      <c r="AF17" s="447"/>
      <c r="AG17" s="447"/>
      <c r="AH17" s="152"/>
      <c r="AI17" s="779"/>
      <c r="AJ17" s="779"/>
      <c r="AK17" s="770"/>
      <c r="AL17" s="772"/>
      <c r="AM17" s="780"/>
      <c r="AN17" s="781"/>
      <c r="AO17" s="784"/>
      <c r="AP17" s="408"/>
      <c r="AQ17" s="447"/>
      <c r="AR17" s="447"/>
      <c r="AS17" s="447"/>
      <c r="AT17" s="447"/>
      <c r="AU17" s="152"/>
      <c r="AV17" s="779"/>
      <c r="AW17" s="779"/>
      <c r="AX17" s="770"/>
      <c r="AY17" s="772"/>
      <c r="AZ17" s="780"/>
      <c r="BA17" s="785"/>
      <c r="BB17" s="786"/>
      <c r="BC17" s="408"/>
      <c r="BD17" s="447"/>
      <c r="BE17" s="447"/>
      <c r="BF17" s="447"/>
      <c r="BG17" s="447"/>
      <c r="BH17" s="152"/>
      <c r="BI17" s="779"/>
      <c r="BJ17" s="779"/>
      <c r="BK17" s="770"/>
      <c r="BL17" s="772"/>
      <c r="BM17" s="780"/>
      <c r="BN17" s="785"/>
      <c r="BO17" s="787"/>
      <c r="BP17" s="408"/>
      <c r="BQ17" s="447"/>
      <c r="BR17" s="447"/>
      <c r="BS17" s="447"/>
      <c r="BT17" s="447"/>
      <c r="BU17" s="152"/>
      <c r="BV17" s="779"/>
      <c r="BW17" s="779"/>
      <c r="BX17" s="770"/>
      <c r="BY17" s="772"/>
      <c r="BZ17" s="780"/>
      <c r="CA17" s="785"/>
      <c r="CB17" s="794"/>
      <c r="CC17" s="408"/>
      <c r="CD17" s="447"/>
      <c r="CE17" s="447"/>
      <c r="CF17" s="447"/>
      <c r="CG17" s="447"/>
      <c r="CH17" s="152"/>
      <c r="CI17" s="779"/>
      <c r="CJ17" s="779"/>
      <c r="CK17" s="770"/>
      <c r="CL17" s="772"/>
      <c r="CM17" s="780"/>
      <c r="CN17" s="785"/>
      <c r="CO17" s="789"/>
      <c r="CP17" s="408"/>
      <c r="CQ17" s="447"/>
      <c r="CR17" s="447"/>
      <c r="CS17" s="447"/>
      <c r="CT17" s="447"/>
      <c r="CU17" s="152"/>
      <c r="CV17" s="779"/>
      <c r="CW17" s="779"/>
      <c r="CX17" s="770"/>
      <c r="CY17" s="772"/>
      <c r="CZ17" s="780"/>
      <c r="DA17" s="785"/>
      <c r="DB17" s="790"/>
      <c r="DC17" s="408"/>
      <c r="DD17" s="447"/>
      <c r="DE17" s="447"/>
      <c r="DF17" s="447"/>
      <c r="DG17" s="447"/>
      <c r="DH17" s="152"/>
      <c r="DI17" s="779"/>
      <c r="DJ17" s="779"/>
      <c r="DK17" s="770"/>
      <c r="DL17" s="772"/>
      <c r="DM17" s="780"/>
      <c r="DN17" s="785"/>
      <c r="DO17" s="791"/>
      <c r="DP17" s="408"/>
      <c r="DQ17" s="447"/>
      <c r="DR17" s="447"/>
      <c r="DS17" s="447"/>
      <c r="DT17" s="447"/>
      <c r="DU17" s="152"/>
      <c r="DV17" s="779"/>
      <c r="DW17" s="779"/>
      <c r="DX17" s="770"/>
      <c r="DY17" s="772"/>
      <c r="DZ17" s="780"/>
      <c r="EA17" s="785"/>
      <c r="EB17" s="429"/>
      <c r="EC17" s="408"/>
      <c r="ED17" s="447"/>
      <c r="EE17" s="447"/>
      <c r="EF17" s="447"/>
      <c r="EG17" s="447"/>
      <c r="EH17" s="152"/>
      <c r="EI17" s="779"/>
      <c r="EJ17" s="779"/>
      <c r="EK17" s="770"/>
      <c r="EL17" s="772"/>
      <c r="EM17" s="780"/>
      <c r="EN17" s="781"/>
      <c r="EO17" s="792"/>
      <c r="EP17" s="408"/>
      <c r="EQ17" s="447"/>
      <c r="ER17" s="447"/>
      <c r="ES17" s="447"/>
      <c r="ET17" s="447"/>
      <c r="EU17" s="152"/>
      <c r="EV17" s="779"/>
      <c r="EW17" s="779"/>
      <c r="EX17" s="770"/>
      <c r="EY17" s="772"/>
      <c r="EZ17" s="780"/>
      <c r="FA17" s="776"/>
      <c r="FB17" s="776"/>
      <c r="FC17" s="776"/>
      <c r="FD17" s="776"/>
      <c r="FE17" s="776"/>
      <c r="FF17" s="776"/>
      <c r="FG17" s="776"/>
      <c r="FH17" s="776"/>
      <c r="FI17" s="776"/>
      <c r="FJ17" s="776"/>
      <c r="FK17" s="776"/>
    </row>
    <row r="18" spans="1:167" s="208" customFormat="1" ht="15" customHeight="1">
      <c r="A18" s="777"/>
      <c r="B18" s="778"/>
      <c r="C18" s="408" t="s">
        <v>52</v>
      </c>
      <c r="D18" s="386">
        <f>BudgetedData!B8</f>
        <v>60169</v>
      </c>
      <c r="E18" s="447">
        <f>Data!C9</f>
        <v>58959.8</v>
      </c>
      <c r="F18" s="447">
        <f>Data!D9</f>
        <v>223.73339000000001</v>
      </c>
      <c r="G18" s="447">
        <f>Data!E9</f>
        <v>612.53333333333319</v>
      </c>
      <c r="H18" s="152">
        <f t="shared" si="0"/>
        <v>58571.000056666671</v>
      </c>
      <c r="I18" s="779">
        <f t="shared" si="55"/>
        <v>0.99340567737113539</v>
      </c>
      <c r="J18" s="779">
        <f t="shared" si="56"/>
        <v>1.0388999510400869E-2</v>
      </c>
      <c r="K18" s="770">
        <f t="shared" si="57"/>
        <v>1209.1999999999971</v>
      </c>
      <c r="L18" s="772">
        <f t="shared" si="58"/>
        <v>388.79994333333161</v>
      </c>
      <c r="M18" s="780">
        <f t="shared" si="59"/>
        <v>1597.9999433333287</v>
      </c>
      <c r="N18" s="781"/>
      <c r="O18" s="793"/>
      <c r="P18" s="408" t="s">
        <v>52</v>
      </c>
      <c r="Q18" s="439">
        <f>BudgetedData!C8</f>
        <v>60357</v>
      </c>
      <c r="R18" s="419">
        <f>Data!C29</f>
        <v>59060.37999999999</v>
      </c>
      <c r="S18" s="447">
        <f>Data!D29</f>
        <v>269.16678999999999</v>
      </c>
      <c r="T18" s="419">
        <f>Data!E29</f>
        <v>720.2</v>
      </c>
      <c r="U18" s="152">
        <f t="shared" si="5"/>
        <v>58609.346789999996</v>
      </c>
      <c r="V18" s="779">
        <f t="shared" si="60"/>
        <v>0.99236318476108698</v>
      </c>
      <c r="W18" s="779">
        <f t="shared" si="61"/>
        <v>1.2194300138265283E-2</v>
      </c>
      <c r="X18" s="770">
        <f t="shared" si="62"/>
        <v>1296.6200000000099</v>
      </c>
      <c r="Y18" s="772">
        <f t="shared" si="63"/>
        <v>451.03320999999414</v>
      </c>
      <c r="Z18" s="780">
        <f t="shared" si="64"/>
        <v>1747.653210000004</v>
      </c>
      <c r="AA18" s="781"/>
      <c r="AB18" s="783"/>
      <c r="AC18" s="408" t="s">
        <v>52</v>
      </c>
      <c r="AD18" s="447">
        <f>BudgetedData!D8</f>
        <v>56771</v>
      </c>
      <c r="AE18" s="447">
        <f>Data!C49</f>
        <v>55637.380000000005</v>
      </c>
      <c r="AF18" s="447">
        <f>Data!D49</f>
        <v>384.71654000000001</v>
      </c>
      <c r="AG18" s="447">
        <f>Data!E49</f>
        <v>748.13333333333344</v>
      </c>
      <c r="AH18" s="152">
        <f t="shared" si="10"/>
        <v>55273.963206666675</v>
      </c>
      <c r="AI18" s="779">
        <f t="shared" si="11"/>
        <v>0.99346811813688329</v>
      </c>
      <c r="AJ18" s="779">
        <f t="shared" si="65"/>
        <v>1.3446595316553967E-2</v>
      </c>
      <c r="AK18" s="770">
        <f t="shared" si="66"/>
        <v>1133.6199999999953</v>
      </c>
      <c r="AL18" s="772">
        <f t="shared" si="67"/>
        <v>363.41679333333013</v>
      </c>
      <c r="AM18" s="780">
        <f t="shared" si="68"/>
        <v>1497.0367933333255</v>
      </c>
      <c r="AN18" s="781"/>
      <c r="AO18" s="784"/>
      <c r="AP18" s="408" t="s">
        <v>52</v>
      </c>
      <c r="AQ18" s="447">
        <f>BudgetedData!E8</f>
        <v>59021</v>
      </c>
      <c r="AR18" s="447">
        <f>Data!C69</f>
        <v>60217.77</v>
      </c>
      <c r="AS18" s="447">
        <f>Data!D69</f>
        <v>353.39980000000008</v>
      </c>
      <c r="AT18" s="447">
        <f>Data!E69</f>
        <v>693.56666299999995</v>
      </c>
      <c r="AU18" s="152">
        <f t="shared" si="69"/>
        <v>59877.603136999998</v>
      </c>
      <c r="AV18" s="779">
        <f t="shared" si="15"/>
        <v>0.99435105512874356</v>
      </c>
      <c r="AW18" s="779">
        <f t="shared" si="70"/>
        <v>1.1517641104942942E-2</v>
      </c>
      <c r="AX18" s="770">
        <f t="shared" si="71"/>
        <v>-1196.7699999999968</v>
      </c>
      <c r="AY18" s="772">
        <f t="shared" si="72"/>
        <v>340.16686299999856</v>
      </c>
      <c r="AZ18" s="780">
        <f t="shared" si="73"/>
        <v>-856.60313699999824</v>
      </c>
      <c r="BA18" s="785"/>
      <c r="BB18" s="786"/>
      <c r="BC18" s="408" t="s">
        <v>52</v>
      </c>
      <c r="BD18" s="447">
        <f>BudgetedData!F8</f>
        <v>56958</v>
      </c>
      <c r="BE18" s="447">
        <f>Data!C89</f>
        <v>0</v>
      </c>
      <c r="BF18" s="447">
        <f>Data!D89</f>
        <v>0</v>
      </c>
      <c r="BG18" s="447">
        <f>Data!E89</f>
        <v>0</v>
      </c>
      <c r="BH18" s="152">
        <f t="shared" si="19"/>
        <v>0</v>
      </c>
      <c r="BI18" s="779" t="str">
        <f t="shared" si="74"/>
        <v>-</v>
      </c>
      <c r="BJ18" s="779" t="str">
        <f t="shared" si="75"/>
        <v>-</v>
      </c>
      <c r="BK18" s="770">
        <f t="shared" si="76"/>
        <v>56958</v>
      </c>
      <c r="BL18" s="772">
        <f t="shared" si="77"/>
        <v>0</v>
      </c>
      <c r="BM18" s="780">
        <f t="shared" si="78"/>
        <v>56958</v>
      </c>
      <c r="BN18" s="785"/>
      <c r="BO18" s="787"/>
      <c r="BP18" s="408" t="s">
        <v>52</v>
      </c>
      <c r="BQ18" s="447">
        <f>BudgetedData!G8</f>
        <v>59021</v>
      </c>
      <c r="BR18" s="447">
        <f>Data!C109</f>
        <v>0</v>
      </c>
      <c r="BS18" s="447">
        <f>Data!D109</f>
        <v>0</v>
      </c>
      <c r="BT18" s="447">
        <f>Data!E109</f>
        <v>0</v>
      </c>
      <c r="BU18" s="152">
        <f t="shared" si="24"/>
        <v>0</v>
      </c>
      <c r="BV18" s="779" t="str">
        <f t="shared" si="79"/>
        <v>-</v>
      </c>
      <c r="BW18" s="779" t="str">
        <f t="shared" si="80"/>
        <v>-</v>
      </c>
      <c r="BX18" s="770">
        <f t="shared" si="81"/>
        <v>59021</v>
      </c>
      <c r="BY18" s="772">
        <f t="shared" si="82"/>
        <v>0</v>
      </c>
      <c r="BZ18" s="780">
        <f t="shared" si="83"/>
        <v>59021</v>
      </c>
      <c r="CA18" s="785"/>
      <c r="CB18" s="794"/>
      <c r="CC18" s="408" t="s">
        <v>52</v>
      </c>
      <c r="CD18" s="447">
        <f>BudgetedData!H8</f>
        <v>59021</v>
      </c>
      <c r="CE18" s="447">
        <f>Data!C129</f>
        <v>0</v>
      </c>
      <c r="CF18" s="447">
        <f>Data!D129</f>
        <v>0</v>
      </c>
      <c r="CG18" s="447">
        <f>Data!E129</f>
        <v>0</v>
      </c>
      <c r="CH18" s="152">
        <f t="shared" si="29"/>
        <v>0</v>
      </c>
      <c r="CI18" s="779" t="str">
        <f t="shared" si="84"/>
        <v>-</v>
      </c>
      <c r="CJ18" s="779" t="str">
        <f t="shared" si="85"/>
        <v>-</v>
      </c>
      <c r="CK18" s="770">
        <f t="shared" si="86"/>
        <v>59021</v>
      </c>
      <c r="CL18" s="772">
        <f t="shared" si="87"/>
        <v>0</v>
      </c>
      <c r="CM18" s="780">
        <f t="shared" si="88"/>
        <v>59021</v>
      </c>
      <c r="CN18" s="785"/>
      <c r="CO18" s="789"/>
      <c r="CP18" s="408" t="s">
        <v>52</v>
      </c>
      <c r="CQ18" s="447">
        <f>BudgetedData!I8</f>
        <v>55856</v>
      </c>
      <c r="CR18" s="447">
        <f>Data!C149</f>
        <v>0</v>
      </c>
      <c r="CS18" s="447">
        <f>Data!D149</f>
        <v>0</v>
      </c>
      <c r="CT18" s="447">
        <f>Data!E149</f>
        <v>0</v>
      </c>
      <c r="CU18" s="152">
        <f t="shared" si="34"/>
        <v>0</v>
      </c>
      <c r="CV18" s="779" t="str">
        <f t="shared" si="89"/>
        <v>-</v>
      </c>
      <c r="CW18" s="779" t="str">
        <f t="shared" si="90"/>
        <v>-</v>
      </c>
      <c r="CX18" s="770">
        <f t="shared" si="91"/>
        <v>55856</v>
      </c>
      <c r="CY18" s="772">
        <f t="shared" si="92"/>
        <v>0</v>
      </c>
      <c r="CZ18" s="780">
        <f t="shared" si="93"/>
        <v>55856</v>
      </c>
      <c r="DA18" s="785"/>
      <c r="DB18" s="790"/>
      <c r="DC18" s="408" t="s">
        <v>52</v>
      </c>
      <c r="DD18" s="447">
        <f>BudgetedData!J8</f>
        <v>60169</v>
      </c>
      <c r="DE18" s="447">
        <f>Data!C169</f>
        <v>0</v>
      </c>
      <c r="DF18" s="447">
        <f>Data!D169</f>
        <v>0</v>
      </c>
      <c r="DG18" s="447">
        <f>Data!E169</f>
        <v>0</v>
      </c>
      <c r="DH18" s="152">
        <f t="shared" si="114"/>
        <v>0</v>
      </c>
      <c r="DI18" s="779" t="str">
        <f t="shared" si="94"/>
        <v>-</v>
      </c>
      <c r="DJ18" s="779" t="str">
        <f t="shared" si="95"/>
        <v>-</v>
      </c>
      <c r="DK18" s="770">
        <f t="shared" si="96"/>
        <v>60169</v>
      </c>
      <c r="DL18" s="772">
        <f t="shared" si="97"/>
        <v>0</v>
      </c>
      <c r="DM18" s="780">
        <f t="shared" si="98"/>
        <v>60169</v>
      </c>
      <c r="DN18" s="785"/>
      <c r="DO18" s="791"/>
      <c r="DP18" s="408" t="s">
        <v>52</v>
      </c>
      <c r="DQ18" s="447">
        <f>BudgetedData!K8</f>
        <v>59068</v>
      </c>
      <c r="DR18" s="447">
        <f>Data!C189</f>
        <v>0</v>
      </c>
      <c r="DS18" s="447">
        <f>Data!D189</f>
        <v>0</v>
      </c>
      <c r="DT18" s="447">
        <f>Data!E189</f>
        <v>0</v>
      </c>
      <c r="DU18" s="152">
        <f t="shared" si="40"/>
        <v>0</v>
      </c>
      <c r="DV18" s="779" t="str">
        <f t="shared" si="99"/>
        <v>-</v>
      </c>
      <c r="DW18" s="779" t="str">
        <f t="shared" si="100"/>
        <v>-</v>
      </c>
      <c r="DX18" s="770">
        <f t="shared" si="101"/>
        <v>59068</v>
      </c>
      <c r="DY18" s="772">
        <f t="shared" si="102"/>
        <v>0</v>
      </c>
      <c r="DZ18" s="780">
        <f t="shared" si="103"/>
        <v>59068</v>
      </c>
      <c r="EA18" s="785"/>
      <c r="EB18" s="429"/>
      <c r="EC18" s="408" t="s">
        <v>52</v>
      </c>
      <c r="ED18" s="447">
        <f>BudgetedData!L8</f>
        <v>58060</v>
      </c>
      <c r="EE18" s="447">
        <f>Data!C209</f>
        <v>0</v>
      </c>
      <c r="EF18" s="447">
        <f>Data!D209</f>
        <v>0</v>
      </c>
      <c r="EG18" s="447">
        <f>Data!E209</f>
        <v>0</v>
      </c>
      <c r="EH18" s="152">
        <f t="shared" si="45"/>
        <v>0</v>
      </c>
      <c r="EI18" s="779" t="str">
        <f t="shared" si="104"/>
        <v>-</v>
      </c>
      <c r="EJ18" s="779" t="str">
        <f t="shared" si="105"/>
        <v>-</v>
      </c>
      <c r="EK18" s="770">
        <f t="shared" si="106"/>
        <v>58060</v>
      </c>
      <c r="EL18" s="772">
        <f t="shared" si="107"/>
        <v>0</v>
      </c>
      <c r="EM18" s="780">
        <f t="shared" si="108"/>
        <v>58060</v>
      </c>
      <c r="EN18" s="781"/>
      <c r="EO18" s="792"/>
      <c r="EP18" s="408" t="s">
        <v>52</v>
      </c>
      <c r="EQ18" s="447">
        <f>BudgetedData!M8</f>
        <v>59068</v>
      </c>
      <c r="ER18" s="447">
        <f>Data!C229</f>
        <v>0</v>
      </c>
      <c r="ES18" s="447">
        <f>Data!D229</f>
        <v>0</v>
      </c>
      <c r="ET18" s="447">
        <f>Data!E229</f>
        <v>0</v>
      </c>
      <c r="EU18" s="152">
        <f t="shared" si="50"/>
        <v>0</v>
      </c>
      <c r="EV18" s="779" t="str">
        <f t="shared" si="109"/>
        <v>-</v>
      </c>
      <c r="EW18" s="779" t="str">
        <f t="shared" si="110"/>
        <v>-</v>
      </c>
      <c r="EX18" s="770">
        <f t="shared" si="111"/>
        <v>59068</v>
      </c>
      <c r="EY18" s="772">
        <f t="shared" si="112"/>
        <v>0</v>
      </c>
      <c r="EZ18" s="780">
        <f t="shared" si="113"/>
        <v>59068</v>
      </c>
      <c r="FA18" s="776"/>
      <c r="FB18" s="776"/>
      <c r="FC18" s="776"/>
      <c r="FD18" s="776"/>
      <c r="FE18" s="776"/>
      <c r="FF18" s="776"/>
      <c r="FG18" s="776"/>
      <c r="FH18" s="776"/>
      <c r="FI18" s="776"/>
      <c r="FJ18" s="776"/>
      <c r="FK18" s="776"/>
    </row>
    <row r="19" spans="1:167" s="208" customFormat="1" ht="15" customHeight="1">
      <c r="A19" s="777"/>
      <c r="B19" s="778"/>
      <c r="C19" s="408"/>
      <c r="D19" s="386"/>
      <c r="E19" s="447"/>
      <c r="F19" s="447"/>
      <c r="G19" s="447"/>
      <c r="H19" s="152"/>
      <c r="I19" s="779"/>
      <c r="J19" s="779"/>
      <c r="K19" s="770"/>
      <c r="L19" s="772"/>
      <c r="M19" s="780"/>
      <c r="N19" s="781"/>
      <c r="O19" s="793"/>
      <c r="P19" s="408"/>
      <c r="Q19" s="439"/>
      <c r="R19" s="419"/>
      <c r="S19" s="447"/>
      <c r="T19" s="419"/>
      <c r="U19" s="152"/>
      <c r="V19" s="779"/>
      <c r="W19" s="779"/>
      <c r="X19" s="770"/>
      <c r="Y19" s="772"/>
      <c r="Z19" s="780"/>
      <c r="AA19" s="781"/>
      <c r="AB19" s="783"/>
      <c r="AC19" s="408"/>
      <c r="AD19" s="447"/>
      <c r="AE19" s="447"/>
      <c r="AF19" s="447"/>
      <c r="AG19" s="447"/>
      <c r="AH19" s="152"/>
      <c r="AI19" s="779"/>
      <c r="AJ19" s="779"/>
      <c r="AK19" s="770"/>
      <c r="AL19" s="772"/>
      <c r="AM19" s="780"/>
      <c r="AN19" s="781"/>
      <c r="AO19" s="784"/>
      <c r="AP19" s="408"/>
      <c r="AQ19" s="447"/>
      <c r="AR19" s="447"/>
      <c r="AS19" s="447"/>
      <c r="AT19" s="447"/>
      <c r="AU19" s="152"/>
      <c r="AV19" s="779"/>
      <c r="AW19" s="779"/>
      <c r="AX19" s="770"/>
      <c r="AY19" s="772"/>
      <c r="AZ19" s="780"/>
      <c r="BA19" s="785"/>
      <c r="BB19" s="786"/>
      <c r="BC19" s="408"/>
      <c r="BD19" s="447"/>
      <c r="BE19" s="447"/>
      <c r="BF19" s="447"/>
      <c r="BG19" s="447"/>
      <c r="BH19" s="152"/>
      <c r="BI19" s="779"/>
      <c r="BJ19" s="779"/>
      <c r="BK19" s="770"/>
      <c r="BL19" s="772"/>
      <c r="BM19" s="780"/>
      <c r="BN19" s="785"/>
      <c r="BO19" s="787"/>
      <c r="BP19" s="408"/>
      <c r="BQ19" s="447"/>
      <c r="BR19" s="447"/>
      <c r="BS19" s="447"/>
      <c r="BT19" s="447"/>
      <c r="BU19" s="152"/>
      <c r="BV19" s="779"/>
      <c r="BW19" s="779"/>
      <c r="BX19" s="770"/>
      <c r="BY19" s="772"/>
      <c r="BZ19" s="780"/>
      <c r="CA19" s="785"/>
      <c r="CB19" s="794"/>
      <c r="CC19" s="408"/>
      <c r="CD19" s="447"/>
      <c r="CE19" s="447"/>
      <c r="CF19" s="447"/>
      <c r="CG19" s="447"/>
      <c r="CH19" s="152"/>
      <c r="CI19" s="779"/>
      <c r="CJ19" s="779"/>
      <c r="CK19" s="770"/>
      <c r="CL19" s="772"/>
      <c r="CM19" s="780"/>
      <c r="CN19" s="785"/>
      <c r="CO19" s="789"/>
      <c r="CP19" s="408"/>
      <c r="CQ19" s="447"/>
      <c r="CR19" s="447"/>
      <c r="CS19" s="447"/>
      <c r="CT19" s="447"/>
      <c r="CU19" s="152"/>
      <c r="CV19" s="779"/>
      <c r="CW19" s="779"/>
      <c r="CX19" s="770"/>
      <c r="CY19" s="772"/>
      <c r="CZ19" s="780"/>
      <c r="DA19" s="785"/>
      <c r="DB19" s="790"/>
      <c r="DC19" s="408"/>
      <c r="DD19" s="447"/>
      <c r="DE19" s="447"/>
      <c r="DF19" s="447"/>
      <c r="DG19" s="447"/>
      <c r="DH19" s="152"/>
      <c r="DI19" s="779"/>
      <c r="DJ19" s="779"/>
      <c r="DK19" s="770"/>
      <c r="DL19" s="772"/>
      <c r="DM19" s="780"/>
      <c r="DN19" s="785"/>
      <c r="DO19" s="791"/>
      <c r="DP19" s="408"/>
      <c r="DQ19" s="447"/>
      <c r="DR19" s="447"/>
      <c r="DS19" s="447"/>
      <c r="DT19" s="447"/>
      <c r="DU19" s="152"/>
      <c r="DV19" s="779"/>
      <c r="DW19" s="779"/>
      <c r="DX19" s="770"/>
      <c r="DY19" s="772"/>
      <c r="DZ19" s="780"/>
      <c r="EA19" s="785"/>
      <c r="EB19" s="429"/>
      <c r="EC19" s="408"/>
      <c r="ED19" s="447"/>
      <c r="EE19" s="447"/>
      <c r="EF19" s="447"/>
      <c r="EG19" s="447"/>
      <c r="EH19" s="152"/>
      <c r="EI19" s="779"/>
      <c r="EJ19" s="779"/>
      <c r="EK19" s="770"/>
      <c r="EL19" s="772"/>
      <c r="EM19" s="780"/>
      <c r="EN19" s="781"/>
      <c r="EO19" s="792"/>
      <c r="EP19" s="408"/>
      <c r="EQ19" s="447"/>
      <c r="ER19" s="447"/>
      <c r="ES19" s="447"/>
      <c r="ET19" s="447"/>
      <c r="EU19" s="152"/>
      <c r="EV19" s="779"/>
      <c r="EW19" s="779"/>
      <c r="EX19" s="770"/>
      <c r="EY19" s="772"/>
      <c r="EZ19" s="780"/>
      <c r="FA19" s="776"/>
      <c r="FB19" s="776"/>
      <c r="FC19" s="776"/>
      <c r="FD19" s="776"/>
      <c r="FE19" s="776"/>
      <c r="FF19" s="776"/>
      <c r="FG19" s="776"/>
      <c r="FH19" s="776"/>
      <c r="FI19" s="776"/>
      <c r="FJ19" s="776"/>
      <c r="FK19" s="776"/>
    </row>
    <row r="20" spans="1:167" s="208" customFormat="1" ht="15" customHeight="1">
      <c r="A20" s="780"/>
      <c r="B20" s="778"/>
      <c r="C20" s="408" t="s">
        <v>53</v>
      </c>
      <c r="D20" s="386">
        <f>BudgetedData!B9</f>
        <v>36475</v>
      </c>
      <c r="E20" s="447">
        <f>Data!C10</f>
        <v>39982.615999999995</v>
      </c>
      <c r="F20" s="447">
        <f>Data!D10</f>
        <v>409.00016000000005</v>
      </c>
      <c r="G20" s="447">
        <f>Data!E10</f>
        <v>732.61666666666679</v>
      </c>
      <c r="H20" s="152">
        <f t="shared" si="0"/>
        <v>39658.999493333329</v>
      </c>
      <c r="I20" s="779">
        <f t="shared" si="55"/>
        <v>0.99190606971122985</v>
      </c>
      <c r="J20" s="779">
        <f t="shared" si="56"/>
        <v>1.8323380007617983E-2</v>
      </c>
      <c r="K20" s="770">
        <f t="shared" si="57"/>
        <v>-3507.6159999999945</v>
      </c>
      <c r="L20" s="772">
        <f t="shared" si="58"/>
        <v>323.61650666666537</v>
      </c>
      <c r="M20" s="780">
        <f t="shared" si="59"/>
        <v>-3183.9994933333292</v>
      </c>
      <c r="N20" s="770"/>
      <c r="O20" s="793"/>
      <c r="P20" s="408" t="s">
        <v>53</v>
      </c>
      <c r="Q20" s="439">
        <f>BudgetedData!C9</f>
        <v>36537</v>
      </c>
      <c r="R20" s="419">
        <f>Data!C30</f>
        <v>39688.889999999992</v>
      </c>
      <c r="S20" s="447">
        <f>Data!D30</f>
        <v>513.93323699999996</v>
      </c>
      <c r="T20" s="419">
        <f>Data!E30</f>
        <v>922.63333333333344</v>
      </c>
      <c r="U20" s="152">
        <f t="shared" si="5"/>
        <v>39280.189903666658</v>
      </c>
      <c r="V20" s="779">
        <f t="shared" si="60"/>
        <v>0.98970240547585653</v>
      </c>
      <c r="W20" s="779">
        <f t="shared" si="61"/>
        <v>2.3246639886712217E-2</v>
      </c>
      <c r="X20" s="770">
        <f t="shared" si="62"/>
        <v>-3151.8899999999921</v>
      </c>
      <c r="Y20" s="772">
        <f t="shared" si="63"/>
        <v>408.70009633333393</v>
      </c>
      <c r="Z20" s="780">
        <f t="shared" si="64"/>
        <v>-2743.1899036666582</v>
      </c>
      <c r="AA20" s="770"/>
      <c r="AB20" s="783"/>
      <c r="AC20" s="408" t="s">
        <v>53</v>
      </c>
      <c r="AD20" s="447">
        <f>BudgetedData!D9</f>
        <v>33510</v>
      </c>
      <c r="AE20" s="447">
        <f>Data!C50</f>
        <v>36835.190999999999</v>
      </c>
      <c r="AF20" s="447">
        <f>Data!D50</f>
        <v>499.49986699999999</v>
      </c>
      <c r="AG20" s="447">
        <f>Data!E50</f>
        <v>1071.5833333333333</v>
      </c>
      <c r="AH20" s="152">
        <f t="shared" si="10"/>
        <v>36263.107533666662</v>
      </c>
      <c r="AI20" s="779">
        <f t="shared" si="11"/>
        <v>0.9844691054721737</v>
      </c>
      <c r="AJ20" s="779">
        <f t="shared" si="65"/>
        <v>2.9091292979404756E-2</v>
      </c>
      <c r="AK20" s="770">
        <f t="shared" si="66"/>
        <v>-3325.1909999999989</v>
      </c>
      <c r="AL20" s="772">
        <f t="shared" si="67"/>
        <v>572.08346633333713</v>
      </c>
      <c r="AM20" s="780">
        <f t="shared" si="68"/>
        <v>-2753.1075336666618</v>
      </c>
      <c r="AN20" s="770"/>
      <c r="AO20" s="784"/>
      <c r="AP20" s="408" t="s">
        <v>53</v>
      </c>
      <c r="AQ20" s="447">
        <f>BudgetedData!E9</f>
        <v>35083</v>
      </c>
      <c r="AR20" s="447">
        <f>Data!C70</f>
        <v>40135.970000000016</v>
      </c>
      <c r="AS20" s="447">
        <f>Data!D70</f>
        <v>518.46668</v>
      </c>
      <c r="AT20" s="447">
        <f>Data!E70</f>
        <v>1307.4004</v>
      </c>
      <c r="AU20" s="152">
        <f t="shared" si="69"/>
        <v>39347.036280000015</v>
      </c>
      <c r="AV20" s="779">
        <f t="shared" si="15"/>
        <v>0.98034347444449454</v>
      </c>
      <c r="AW20" s="779">
        <f t="shared" si="70"/>
        <v>3.2574281872345415E-2</v>
      </c>
      <c r="AX20" s="770">
        <f t="shared" si="71"/>
        <v>-5052.9700000000157</v>
      </c>
      <c r="AY20" s="772">
        <f t="shared" si="72"/>
        <v>788.9337200000009</v>
      </c>
      <c r="AZ20" s="780">
        <f t="shared" si="73"/>
        <v>-4264.0362800000148</v>
      </c>
      <c r="BA20" s="772"/>
      <c r="BB20" s="786"/>
      <c r="BC20" s="408" t="s">
        <v>53</v>
      </c>
      <c r="BD20" s="447">
        <f>BudgetedData!F9</f>
        <v>33571</v>
      </c>
      <c r="BE20" s="447">
        <f>Data!C90</f>
        <v>0</v>
      </c>
      <c r="BF20" s="447">
        <f>Data!D90</f>
        <v>0</v>
      </c>
      <c r="BG20" s="447">
        <f>Data!E90</f>
        <v>0</v>
      </c>
      <c r="BH20" s="152">
        <f t="shared" si="19"/>
        <v>0</v>
      </c>
      <c r="BI20" s="779" t="str">
        <f t="shared" si="74"/>
        <v>-</v>
      </c>
      <c r="BJ20" s="779" t="str">
        <f t="shared" si="75"/>
        <v>-</v>
      </c>
      <c r="BK20" s="770">
        <f t="shared" si="76"/>
        <v>33571</v>
      </c>
      <c r="BL20" s="772">
        <f t="shared" si="77"/>
        <v>0</v>
      </c>
      <c r="BM20" s="780">
        <f t="shared" si="78"/>
        <v>33571</v>
      </c>
      <c r="BN20" s="772"/>
      <c r="BO20" s="787"/>
      <c r="BP20" s="408" t="s">
        <v>53</v>
      </c>
      <c r="BQ20" s="447">
        <f>BudgetedData!G9</f>
        <v>35083</v>
      </c>
      <c r="BR20" s="447">
        <f>Data!C110</f>
        <v>0</v>
      </c>
      <c r="BS20" s="447">
        <f>Data!D110</f>
        <v>0</v>
      </c>
      <c r="BT20" s="447">
        <f>Data!E110</f>
        <v>0</v>
      </c>
      <c r="BU20" s="152">
        <f t="shared" si="24"/>
        <v>0</v>
      </c>
      <c r="BV20" s="779" t="str">
        <f t="shared" si="79"/>
        <v>-</v>
      </c>
      <c r="BW20" s="779" t="str">
        <f t="shared" si="80"/>
        <v>-</v>
      </c>
      <c r="BX20" s="770">
        <f t="shared" si="81"/>
        <v>35083</v>
      </c>
      <c r="BY20" s="772">
        <f t="shared" si="82"/>
        <v>0</v>
      </c>
      <c r="BZ20" s="780">
        <f t="shared" si="83"/>
        <v>35083</v>
      </c>
      <c r="CA20" s="772"/>
      <c r="CB20" s="794"/>
      <c r="CC20" s="408" t="s">
        <v>53</v>
      </c>
      <c r="CD20" s="447">
        <f>BudgetedData!H9</f>
        <v>35083</v>
      </c>
      <c r="CE20" s="447">
        <f>Data!C130</f>
        <v>0</v>
      </c>
      <c r="CF20" s="447">
        <f>Data!D130</f>
        <v>0</v>
      </c>
      <c r="CG20" s="447">
        <f>Data!E130</f>
        <v>0</v>
      </c>
      <c r="CH20" s="152">
        <f t="shared" si="29"/>
        <v>0</v>
      </c>
      <c r="CI20" s="779" t="str">
        <f t="shared" si="84"/>
        <v>-</v>
      </c>
      <c r="CJ20" s="779" t="str">
        <f t="shared" si="85"/>
        <v>-</v>
      </c>
      <c r="CK20" s="770">
        <f t="shared" si="86"/>
        <v>35083</v>
      </c>
      <c r="CL20" s="772">
        <f t="shared" si="87"/>
        <v>0</v>
      </c>
      <c r="CM20" s="780">
        <f t="shared" si="88"/>
        <v>35083</v>
      </c>
      <c r="CN20" s="772"/>
      <c r="CO20" s="789"/>
      <c r="CP20" s="408" t="s">
        <v>53</v>
      </c>
      <c r="CQ20" s="447">
        <f>BudgetedData!I9</f>
        <v>33391</v>
      </c>
      <c r="CR20" s="447">
        <f>Data!C150</f>
        <v>0</v>
      </c>
      <c r="CS20" s="447">
        <f>Data!D150</f>
        <v>0</v>
      </c>
      <c r="CT20" s="447">
        <f>Data!E150</f>
        <v>0</v>
      </c>
      <c r="CU20" s="152">
        <f t="shared" si="34"/>
        <v>0</v>
      </c>
      <c r="CV20" s="779" t="str">
        <f t="shared" si="89"/>
        <v>-</v>
      </c>
      <c r="CW20" s="779" t="str">
        <f t="shared" si="90"/>
        <v>-</v>
      </c>
      <c r="CX20" s="770">
        <f t="shared" si="91"/>
        <v>33391</v>
      </c>
      <c r="CY20" s="772">
        <f t="shared" si="92"/>
        <v>0</v>
      </c>
      <c r="CZ20" s="780">
        <f t="shared" si="93"/>
        <v>33391</v>
      </c>
      <c r="DA20" s="772"/>
      <c r="DB20" s="790"/>
      <c r="DC20" s="408" t="s">
        <v>53</v>
      </c>
      <c r="DD20" s="447">
        <f>BudgetedData!J9</f>
        <v>36475</v>
      </c>
      <c r="DE20" s="447">
        <f>Data!C170</f>
        <v>0</v>
      </c>
      <c r="DF20" s="447">
        <f>Data!D170</f>
        <v>0</v>
      </c>
      <c r="DG20" s="447">
        <f>Data!E170</f>
        <v>0</v>
      </c>
      <c r="DH20" s="152">
        <f t="shared" si="114"/>
        <v>0</v>
      </c>
      <c r="DI20" s="779" t="str">
        <f t="shared" si="94"/>
        <v>-</v>
      </c>
      <c r="DJ20" s="779" t="str">
        <f t="shared" si="95"/>
        <v>-</v>
      </c>
      <c r="DK20" s="770">
        <f t="shared" si="96"/>
        <v>36475</v>
      </c>
      <c r="DL20" s="772">
        <f t="shared" si="97"/>
        <v>0</v>
      </c>
      <c r="DM20" s="780">
        <f t="shared" si="98"/>
        <v>36475</v>
      </c>
      <c r="DN20" s="772"/>
      <c r="DO20" s="791"/>
      <c r="DP20" s="408" t="s">
        <v>53</v>
      </c>
      <c r="DQ20" s="447">
        <f>BudgetedData!K9</f>
        <v>36295</v>
      </c>
      <c r="DR20" s="447">
        <f>Data!C190</f>
        <v>0</v>
      </c>
      <c r="DS20" s="447">
        <f>Data!D190</f>
        <v>0</v>
      </c>
      <c r="DT20" s="447">
        <f>Data!E190</f>
        <v>0</v>
      </c>
      <c r="DU20" s="152">
        <f t="shared" si="40"/>
        <v>0</v>
      </c>
      <c r="DV20" s="779" t="str">
        <f t="shared" si="99"/>
        <v>-</v>
      </c>
      <c r="DW20" s="779" t="str">
        <f t="shared" si="100"/>
        <v>-</v>
      </c>
      <c r="DX20" s="770">
        <f t="shared" si="101"/>
        <v>36295</v>
      </c>
      <c r="DY20" s="772">
        <f t="shared" si="102"/>
        <v>0</v>
      </c>
      <c r="DZ20" s="780">
        <f t="shared" si="103"/>
        <v>36295</v>
      </c>
      <c r="EA20" s="772"/>
      <c r="EB20" s="429"/>
      <c r="EC20" s="408" t="s">
        <v>53</v>
      </c>
      <c r="ED20" s="447">
        <f>BudgetedData!L9</f>
        <v>33752</v>
      </c>
      <c r="EE20" s="447">
        <f>Data!C210</f>
        <v>0</v>
      </c>
      <c r="EF20" s="447">
        <f>Data!D210</f>
        <v>0</v>
      </c>
      <c r="EG20" s="447">
        <f>Data!E210</f>
        <v>0</v>
      </c>
      <c r="EH20" s="152">
        <f t="shared" si="45"/>
        <v>0</v>
      </c>
      <c r="EI20" s="779" t="str">
        <f t="shared" si="104"/>
        <v>-</v>
      </c>
      <c r="EJ20" s="779" t="str">
        <f t="shared" si="105"/>
        <v>-</v>
      </c>
      <c r="EK20" s="770">
        <f t="shared" si="106"/>
        <v>33752</v>
      </c>
      <c r="EL20" s="772">
        <f t="shared" si="107"/>
        <v>0</v>
      </c>
      <c r="EM20" s="780">
        <f t="shared" si="108"/>
        <v>33752</v>
      </c>
      <c r="EN20" s="770"/>
      <c r="EO20" s="792"/>
      <c r="EP20" s="408" t="s">
        <v>53</v>
      </c>
      <c r="EQ20" s="447">
        <f>BudgetedData!M9</f>
        <v>36295</v>
      </c>
      <c r="ER20" s="447">
        <f>Data!C230</f>
        <v>0</v>
      </c>
      <c r="ES20" s="447">
        <f>Data!D230</f>
        <v>0</v>
      </c>
      <c r="ET20" s="447">
        <f>Data!E230</f>
        <v>0</v>
      </c>
      <c r="EU20" s="152">
        <f t="shared" si="50"/>
        <v>0</v>
      </c>
      <c r="EV20" s="779" t="str">
        <f t="shared" si="109"/>
        <v>-</v>
      </c>
      <c r="EW20" s="779" t="str">
        <f t="shared" si="110"/>
        <v>-</v>
      </c>
      <c r="EX20" s="770">
        <f t="shared" si="111"/>
        <v>36295</v>
      </c>
      <c r="EY20" s="772">
        <f t="shared" si="112"/>
        <v>0</v>
      </c>
      <c r="EZ20" s="780">
        <f t="shared" si="113"/>
        <v>36295</v>
      </c>
      <c r="FA20" s="776"/>
      <c r="FB20" s="776"/>
      <c r="FC20" s="776"/>
      <c r="FD20" s="776"/>
      <c r="FE20" s="776"/>
      <c r="FF20" s="776"/>
      <c r="FG20" s="776"/>
      <c r="FH20" s="776"/>
      <c r="FI20" s="776"/>
      <c r="FJ20" s="776"/>
      <c r="FK20" s="776"/>
    </row>
    <row r="21" spans="1:167" s="208" customFormat="1" ht="15" customHeight="1">
      <c r="A21" s="780"/>
      <c r="B21" s="778"/>
      <c r="C21" s="408"/>
      <c r="D21" s="386"/>
      <c r="E21" s="447"/>
      <c r="F21" s="447"/>
      <c r="G21" s="447"/>
      <c r="H21" s="152"/>
      <c r="I21" s="779"/>
      <c r="J21" s="779"/>
      <c r="K21" s="770"/>
      <c r="L21" s="772"/>
      <c r="M21" s="780"/>
      <c r="N21" s="770"/>
      <c r="O21" s="793"/>
      <c r="P21" s="408"/>
      <c r="Q21" s="439"/>
      <c r="R21" s="419"/>
      <c r="S21" s="447"/>
      <c r="T21" s="419"/>
      <c r="U21" s="152"/>
      <c r="V21" s="779"/>
      <c r="W21" s="779"/>
      <c r="X21" s="770"/>
      <c r="Y21" s="772"/>
      <c r="Z21" s="780"/>
      <c r="AA21" s="770"/>
      <c r="AB21" s="783"/>
      <c r="AC21" s="408"/>
      <c r="AD21" s="447"/>
      <c r="AE21" s="447"/>
      <c r="AF21" s="447"/>
      <c r="AG21" s="447"/>
      <c r="AH21" s="152"/>
      <c r="AI21" s="779"/>
      <c r="AJ21" s="779"/>
      <c r="AK21" s="770"/>
      <c r="AL21" s="772"/>
      <c r="AM21" s="780"/>
      <c r="AN21" s="770"/>
      <c r="AO21" s="784"/>
      <c r="AP21" s="408"/>
      <c r="AQ21" s="447"/>
      <c r="AR21" s="447"/>
      <c r="AS21" s="447"/>
      <c r="AT21" s="447"/>
      <c r="AU21" s="152"/>
      <c r="AV21" s="779"/>
      <c r="AW21" s="779"/>
      <c r="AX21" s="770"/>
      <c r="AY21" s="772"/>
      <c r="AZ21" s="780"/>
      <c r="BA21" s="772"/>
      <c r="BB21" s="786"/>
      <c r="BC21" s="408"/>
      <c r="BD21" s="447"/>
      <c r="BE21" s="447"/>
      <c r="BF21" s="447"/>
      <c r="BG21" s="447"/>
      <c r="BH21" s="152"/>
      <c r="BI21" s="779"/>
      <c r="BJ21" s="779"/>
      <c r="BK21" s="770"/>
      <c r="BL21" s="772"/>
      <c r="BM21" s="780"/>
      <c r="BN21" s="772"/>
      <c r="BO21" s="787"/>
      <c r="BP21" s="408"/>
      <c r="BQ21" s="447"/>
      <c r="BR21" s="447"/>
      <c r="BS21" s="447"/>
      <c r="BT21" s="447"/>
      <c r="BU21" s="152"/>
      <c r="BV21" s="779"/>
      <c r="BW21" s="779"/>
      <c r="BX21" s="770"/>
      <c r="BY21" s="772"/>
      <c r="BZ21" s="780"/>
      <c r="CA21" s="772"/>
      <c r="CB21" s="794"/>
      <c r="CC21" s="408"/>
      <c r="CD21" s="447"/>
      <c r="CE21" s="447"/>
      <c r="CF21" s="447"/>
      <c r="CG21" s="447"/>
      <c r="CH21" s="152"/>
      <c r="CI21" s="779"/>
      <c r="CJ21" s="779"/>
      <c r="CK21" s="770"/>
      <c r="CL21" s="772"/>
      <c r="CM21" s="780"/>
      <c r="CN21" s="772"/>
      <c r="CO21" s="789"/>
      <c r="CP21" s="408"/>
      <c r="CQ21" s="447"/>
      <c r="CR21" s="447"/>
      <c r="CS21" s="447"/>
      <c r="CT21" s="447"/>
      <c r="CU21" s="152"/>
      <c r="CV21" s="779"/>
      <c r="CW21" s="779"/>
      <c r="CX21" s="770"/>
      <c r="CY21" s="772"/>
      <c r="CZ21" s="780"/>
      <c r="DA21" s="772"/>
      <c r="DB21" s="790"/>
      <c r="DC21" s="408"/>
      <c r="DD21" s="447"/>
      <c r="DE21" s="447"/>
      <c r="DF21" s="447"/>
      <c r="DG21" s="447"/>
      <c r="DH21" s="152"/>
      <c r="DI21" s="779"/>
      <c r="DJ21" s="779"/>
      <c r="DK21" s="770"/>
      <c r="DL21" s="772"/>
      <c r="DM21" s="780"/>
      <c r="DN21" s="772"/>
      <c r="DO21" s="791"/>
      <c r="DP21" s="408"/>
      <c r="DQ21" s="447"/>
      <c r="DR21" s="447"/>
      <c r="DS21" s="447"/>
      <c r="DT21" s="447"/>
      <c r="DU21" s="152"/>
      <c r="DV21" s="779"/>
      <c r="DW21" s="779"/>
      <c r="DX21" s="770"/>
      <c r="DY21" s="772"/>
      <c r="DZ21" s="780"/>
      <c r="EA21" s="772"/>
      <c r="EB21" s="429"/>
      <c r="EC21" s="408"/>
      <c r="ED21" s="447"/>
      <c r="EE21" s="447"/>
      <c r="EF21" s="447"/>
      <c r="EG21" s="447"/>
      <c r="EH21" s="152"/>
      <c r="EI21" s="779"/>
      <c r="EJ21" s="779"/>
      <c r="EK21" s="770"/>
      <c r="EL21" s="772"/>
      <c r="EM21" s="780"/>
      <c r="EN21" s="770"/>
      <c r="EO21" s="792"/>
      <c r="EP21" s="408"/>
      <c r="EQ21" s="447"/>
      <c r="ER21" s="447"/>
      <c r="ES21" s="447"/>
      <c r="ET21" s="447"/>
      <c r="EU21" s="152"/>
      <c r="EV21" s="779"/>
      <c r="EW21" s="779"/>
      <c r="EX21" s="770"/>
      <c r="EY21" s="772"/>
      <c r="EZ21" s="780"/>
      <c r="FA21" s="776"/>
      <c r="FB21" s="776"/>
      <c r="FC21" s="776"/>
      <c r="FD21" s="776"/>
      <c r="FE21" s="776"/>
      <c r="FF21" s="776"/>
      <c r="FG21" s="776"/>
      <c r="FH21" s="776"/>
      <c r="FI21" s="776"/>
      <c r="FJ21" s="776"/>
      <c r="FK21" s="776"/>
    </row>
    <row r="22" spans="1:167" s="208" customFormat="1" ht="15" customHeight="1">
      <c r="A22" s="777"/>
      <c r="B22" s="778"/>
      <c r="C22" s="408" t="s">
        <v>54</v>
      </c>
      <c r="D22" s="386">
        <f>BudgetedData!B10</f>
        <v>43893</v>
      </c>
      <c r="E22" s="447">
        <f>Data!C11</f>
        <v>43390.98</v>
      </c>
      <c r="F22" s="447">
        <f>Data!D11</f>
        <v>425.86657000000002</v>
      </c>
      <c r="G22" s="447">
        <f>Data!E11</f>
        <v>1423.8833333333332</v>
      </c>
      <c r="H22" s="152">
        <f t="shared" si="0"/>
        <v>42392.96323666667</v>
      </c>
      <c r="I22" s="779">
        <f t="shared" si="55"/>
        <v>0.97699944174265407</v>
      </c>
      <c r="J22" s="779">
        <f t="shared" si="56"/>
        <v>3.2815191851701279E-2</v>
      </c>
      <c r="K22" s="770">
        <f t="shared" si="57"/>
        <v>502.0199999999968</v>
      </c>
      <c r="L22" s="772">
        <f t="shared" si="58"/>
        <v>998.01676333333307</v>
      </c>
      <c r="M22" s="780">
        <f t="shared" si="59"/>
        <v>1500.0367633333299</v>
      </c>
      <c r="N22" s="781"/>
      <c r="O22" s="793"/>
      <c r="P22" s="408" t="s">
        <v>54</v>
      </c>
      <c r="Q22" s="439">
        <f>BudgetedData!C10</f>
        <v>44128</v>
      </c>
      <c r="R22" s="419">
        <f>Data!C31</f>
        <v>43135.399999999994</v>
      </c>
      <c r="S22" s="447">
        <f>Data!D31</f>
        <v>577.98318999999992</v>
      </c>
      <c r="T22" s="419">
        <f>Data!E31</f>
        <v>1963.5833333333335</v>
      </c>
      <c r="U22" s="152">
        <f t="shared" si="5"/>
        <v>41749.799856666657</v>
      </c>
      <c r="V22" s="779">
        <f t="shared" si="60"/>
        <v>0.96787788815373599</v>
      </c>
      <c r="W22" s="779">
        <f t="shared" si="61"/>
        <v>4.5521389237919055E-2</v>
      </c>
      <c r="X22" s="770">
        <f t="shared" si="62"/>
        <v>992.60000000000582</v>
      </c>
      <c r="Y22" s="772">
        <f t="shared" si="63"/>
        <v>1385.6001433333367</v>
      </c>
      <c r="Z22" s="780">
        <f t="shared" si="64"/>
        <v>2378.2001433333426</v>
      </c>
      <c r="AA22" s="781"/>
      <c r="AB22" s="783"/>
      <c r="AC22" s="408" t="s">
        <v>54</v>
      </c>
      <c r="AD22" s="447">
        <f>BudgetedData!D10</f>
        <v>41991</v>
      </c>
      <c r="AE22" s="447">
        <f>Data!C51</f>
        <v>41879.100000000006</v>
      </c>
      <c r="AF22" s="447">
        <f>Data!D51</f>
        <v>571.20014000000003</v>
      </c>
      <c r="AG22" s="447">
        <f>Data!E51</f>
        <v>1308.2333333333336</v>
      </c>
      <c r="AH22" s="152">
        <f t="shared" si="10"/>
        <v>41142.066806666669</v>
      </c>
      <c r="AI22" s="779"/>
      <c r="AJ22" s="779">
        <f t="shared" si="65"/>
        <v>3.1238334475510061E-2</v>
      </c>
      <c r="AK22" s="770">
        <f t="shared" si="66"/>
        <v>111.89999999999418</v>
      </c>
      <c r="AL22" s="772">
        <f t="shared" si="67"/>
        <v>737.03319333333638</v>
      </c>
      <c r="AM22" s="780">
        <f t="shared" si="68"/>
        <v>848.93319333333056</v>
      </c>
      <c r="AN22" s="781"/>
      <c r="AO22" s="784"/>
      <c r="AP22" s="408" t="s">
        <v>54</v>
      </c>
      <c r="AQ22" s="447">
        <f>BudgetedData!E10</f>
        <v>43492</v>
      </c>
      <c r="AR22" s="447">
        <f>Data!C71</f>
        <v>44312.06</v>
      </c>
      <c r="AS22" s="447">
        <f>Data!D71</f>
        <v>701.46659999999997</v>
      </c>
      <c r="AT22" s="447">
        <f>Data!E71</f>
        <v>1228.9997000000003</v>
      </c>
      <c r="AU22" s="152">
        <f t="shared" si="69"/>
        <v>43784.526899999997</v>
      </c>
      <c r="AV22" s="779">
        <f t="shared" si="15"/>
        <v>0.98809504455446218</v>
      </c>
      <c r="AW22" s="779">
        <f t="shared" si="70"/>
        <v>2.7735106424752097E-2</v>
      </c>
      <c r="AX22" s="770">
        <f t="shared" si="71"/>
        <v>-820.05999999999767</v>
      </c>
      <c r="AY22" s="772">
        <f t="shared" si="72"/>
        <v>527.53310000000056</v>
      </c>
      <c r="AZ22" s="780">
        <f t="shared" si="73"/>
        <v>-292.52689999999711</v>
      </c>
      <c r="BA22" s="785"/>
      <c r="BB22" s="786"/>
      <c r="BC22" s="408" t="s">
        <v>54</v>
      </c>
      <c r="BD22" s="447">
        <f>BudgetedData!F10</f>
        <v>42227</v>
      </c>
      <c r="BE22" s="447">
        <f>Data!C91</f>
        <v>0</v>
      </c>
      <c r="BF22" s="447">
        <f>Data!D91</f>
        <v>0</v>
      </c>
      <c r="BG22" s="447">
        <f>Data!E91</f>
        <v>0</v>
      </c>
      <c r="BH22" s="152">
        <f t="shared" si="19"/>
        <v>0</v>
      </c>
      <c r="BI22" s="779" t="str">
        <f t="shared" si="74"/>
        <v>-</v>
      </c>
      <c r="BJ22" s="779" t="str">
        <f t="shared" si="75"/>
        <v>-</v>
      </c>
      <c r="BK22" s="770">
        <f t="shared" si="76"/>
        <v>42227</v>
      </c>
      <c r="BL22" s="772">
        <f t="shared" si="77"/>
        <v>0</v>
      </c>
      <c r="BM22" s="780">
        <f t="shared" si="78"/>
        <v>42227</v>
      </c>
      <c r="BN22" s="785"/>
      <c r="BO22" s="787"/>
      <c r="BP22" s="408" t="s">
        <v>54</v>
      </c>
      <c r="BQ22" s="447">
        <f>BudgetedData!G10</f>
        <v>43492</v>
      </c>
      <c r="BR22" s="447">
        <f>Data!C111</f>
        <v>0</v>
      </c>
      <c r="BS22" s="447">
        <f>Data!D111</f>
        <v>0</v>
      </c>
      <c r="BT22" s="447">
        <f>Data!E111</f>
        <v>0</v>
      </c>
      <c r="BU22" s="152">
        <f t="shared" si="24"/>
        <v>0</v>
      </c>
      <c r="BV22" s="779" t="str">
        <f t="shared" si="79"/>
        <v>-</v>
      </c>
      <c r="BW22" s="779" t="str">
        <f t="shared" si="80"/>
        <v>-</v>
      </c>
      <c r="BX22" s="770">
        <f t="shared" si="81"/>
        <v>43492</v>
      </c>
      <c r="BY22" s="772">
        <f t="shared" si="82"/>
        <v>0</v>
      </c>
      <c r="BZ22" s="780">
        <f t="shared" si="83"/>
        <v>43492</v>
      </c>
      <c r="CA22" s="785"/>
      <c r="CB22" s="794"/>
      <c r="CC22" s="408" t="s">
        <v>54</v>
      </c>
      <c r="CD22" s="447">
        <f>BudgetedData!H10</f>
        <v>43492</v>
      </c>
      <c r="CE22" s="447">
        <f>Data!C131</f>
        <v>0</v>
      </c>
      <c r="CF22" s="447">
        <f>Data!D131</f>
        <v>0</v>
      </c>
      <c r="CG22" s="447">
        <f>Data!E131</f>
        <v>0</v>
      </c>
      <c r="CH22" s="152">
        <f t="shared" si="29"/>
        <v>0</v>
      </c>
      <c r="CI22" s="779" t="str">
        <f t="shared" si="84"/>
        <v>-</v>
      </c>
      <c r="CJ22" s="779" t="str">
        <f t="shared" si="85"/>
        <v>-</v>
      </c>
      <c r="CK22" s="770">
        <f t="shared" si="86"/>
        <v>43492</v>
      </c>
      <c r="CL22" s="772">
        <f t="shared" si="87"/>
        <v>0</v>
      </c>
      <c r="CM22" s="780">
        <f t="shared" si="88"/>
        <v>43492</v>
      </c>
      <c r="CN22" s="785"/>
      <c r="CO22" s="789"/>
      <c r="CP22" s="408" t="s">
        <v>54</v>
      </c>
      <c r="CQ22" s="447">
        <f>BudgetedData!I10</f>
        <v>41125</v>
      </c>
      <c r="CR22" s="447">
        <f>Data!C151</f>
        <v>0</v>
      </c>
      <c r="CS22" s="447">
        <f>Data!D151</f>
        <v>0</v>
      </c>
      <c r="CT22" s="447">
        <f>Data!E151</f>
        <v>0</v>
      </c>
      <c r="CU22" s="152">
        <f t="shared" si="34"/>
        <v>0</v>
      </c>
      <c r="CV22" s="779" t="str">
        <f t="shared" si="89"/>
        <v>-</v>
      </c>
      <c r="CW22" s="779" t="str">
        <f t="shared" si="90"/>
        <v>-</v>
      </c>
      <c r="CX22" s="770">
        <f t="shared" si="91"/>
        <v>41125</v>
      </c>
      <c r="CY22" s="772">
        <f t="shared" si="92"/>
        <v>0</v>
      </c>
      <c r="CZ22" s="780">
        <f t="shared" si="93"/>
        <v>41125</v>
      </c>
      <c r="DA22" s="772"/>
      <c r="DB22" s="790"/>
      <c r="DC22" s="408" t="s">
        <v>54</v>
      </c>
      <c r="DD22" s="447">
        <f>BudgetedData!J10</f>
        <v>43893</v>
      </c>
      <c r="DE22" s="447">
        <f>Data!C171</f>
        <v>0</v>
      </c>
      <c r="DF22" s="447">
        <f>Data!D171</f>
        <v>0</v>
      </c>
      <c r="DG22" s="447">
        <f>Data!E171</f>
        <v>0</v>
      </c>
      <c r="DH22" s="152">
        <f t="shared" si="114"/>
        <v>0</v>
      </c>
      <c r="DI22" s="779" t="str">
        <f t="shared" si="94"/>
        <v>-</v>
      </c>
      <c r="DJ22" s="779" t="str">
        <f t="shared" si="95"/>
        <v>-</v>
      </c>
      <c r="DK22" s="770">
        <f t="shared" si="96"/>
        <v>43893</v>
      </c>
      <c r="DL22" s="772">
        <f t="shared" si="97"/>
        <v>0</v>
      </c>
      <c r="DM22" s="780">
        <f t="shared" si="98"/>
        <v>43893</v>
      </c>
      <c r="DN22" s="772"/>
      <c r="DO22" s="791"/>
      <c r="DP22" s="408" t="s">
        <v>54</v>
      </c>
      <c r="DQ22" s="447">
        <f>BudgetedData!K10</f>
        <v>42791</v>
      </c>
      <c r="DR22" s="447">
        <f>Data!C191</f>
        <v>0</v>
      </c>
      <c r="DS22" s="447">
        <f>Data!D191</f>
        <v>0</v>
      </c>
      <c r="DT22" s="447">
        <f>Data!E191</f>
        <v>0</v>
      </c>
      <c r="DU22" s="152">
        <f t="shared" si="40"/>
        <v>0</v>
      </c>
      <c r="DV22" s="779" t="str">
        <f t="shared" si="99"/>
        <v>-</v>
      </c>
      <c r="DW22" s="779" t="str">
        <f t="shared" si="100"/>
        <v>-</v>
      </c>
      <c r="DX22" s="770">
        <f t="shared" si="101"/>
        <v>42791</v>
      </c>
      <c r="DY22" s="772">
        <f t="shared" si="102"/>
        <v>0</v>
      </c>
      <c r="DZ22" s="780">
        <f t="shared" si="103"/>
        <v>42791</v>
      </c>
      <c r="EA22" s="772"/>
      <c r="EB22" s="429"/>
      <c r="EC22" s="408" t="s">
        <v>54</v>
      </c>
      <c r="ED22" s="447">
        <f>BudgetedData!L10</f>
        <v>43328</v>
      </c>
      <c r="EE22" s="447">
        <f>Data!C211</f>
        <v>0</v>
      </c>
      <c r="EF22" s="447">
        <f>Data!D211</f>
        <v>0</v>
      </c>
      <c r="EG22" s="447">
        <f>Data!E211</f>
        <v>0</v>
      </c>
      <c r="EH22" s="152">
        <f t="shared" si="45"/>
        <v>0</v>
      </c>
      <c r="EI22" s="779" t="str">
        <f t="shared" si="104"/>
        <v>-</v>
      </c>
      <c r="EJ22" s="779" t="str">
        <f t="shared" si="105"/>
        <v>-</v>
      </c>
      <c r="EK22" s="770">
        <f t="shared" si="106"/>
        <v>43328</v>
      </c>
      <c r="EL22" s="772">
        <f t="shared" si="107"/>
        <v>0</v>
      </c>
      <c r="EM22" s="780">
        <f t="shared" si="108"/>
        <v>43328</v>
      </c>
      <c r="EN22" s="770"/>
      <c r="EO22" s="792"/>
      <c r="EP22" s="408" t="s">
        <v>54</v>
      </c>
      <c r="EQ22" s="447">
        <f>BudgetedData!M10</f>
        <v>42791</v>
      </c>
      <c r="ER22" s="447">
        <f>Data!C231</f>
        <v>0</v>
      </c>
      <c r="ES22" s="447">
        <f>Data!D231</f>
        <v>0</v>
      </c>
      <c r="ET22" s="447">
        <f>Data!E231</f>
        <v>0</v>
      </c>
      <c r="EU22" s="152">
        <f t="shared" si="50"/>
        <v>0</v>
      </c>
      <c r="EV22" s="779" t="str">
        <f t="shared" si="109"/>
        <v>-</v>
      </c>
      <c r="EW22" s="779" t="str">
        <f t="shared" si="110"/>
        <v>-</v>
      </c>
      <c r="EX22" s="770">
        <f t="shared" si="111"/>
        <v>42791</v>
      </c>
      <c r="EY22" s="772">
        <f t="shared" si="112"/>
        <v>0</v>
      </c>
      <c r="EZ22" s="780">
        <f t="shared" si="113"/>
        <v>42791</v>
      </c>
      <c r="FA22" s="776"/>
      <c r="FB22" s="776"/>
      <c r="FC22" s="776"/>
      <c r="FD22" s="776"/>
      <c r="FE22" s="776"/>
      <c r="FF22" s="776"/>
      <c r="FG22" s="776"/>
      <c r="FH22" s="776"/>
      <c r="FI22" s="776"/>
      <c r="FJ22" s="776"/>
      <c r="FK22" s="776"/>
    </row>
    <row r="23" spans="1:167" s="208" customFormat="1" ht="15" customHeight="1">
      <c r="A23" s="777"/>
      <c r="B23" s="778"/>
      <c r="C23" s="408"/>
      <c r="D23" s="386"/>
      <c r="E23" s="447"/>
      <c r="F23" s="447"/>
      <c r="G23" s="447"/>
      <c r="H23" s="152"/>
      <c r="I23" s="779"/>
      <c r="J23" s="779"/>
      <c r="K23" s="770"/>
      <c r="L23" s="772"/>
      <c r="M23" s="780"/>
      <c r="N23" s="781"/>
      <c r="O23" s="793"/>
      <c r="P23" s="408"/>
      <c r="Q23" s="439"/>
      <c r="R23" s="419"/>
      <c r="S23" s="447"/>
      <c r="T23" s="419"/>
      <c r="U23" s="152"/>
      <c r="V23" s="779"/>
      <c r="W23" s="779"/>
      <c r="X23" s="770"/>
      <c r="Y23" s="772"/>
      <c r="Z23" s="780"/>
      <c r="AA23" s="781"/>
      <c r="AB23" s="783"/>
      <c r="AC23" s="408"/>
      <c r="AD23" s="447"/>
      <c r="AE23" s="447"/>
      <c r="AF23" s="447"/>
      <c r="AG23" s="447"/>
      <c r="AH23" s="152"/>
      <c r="AI23" s="779"/>
      <c r="AJ23" s="779"/>
      <c r="AK23" s="770"/>
      <c r="AL23" s="772"/>
      <c r="AM23" s="780"/>
      <c r="AN23" s="781"/>
      <c r="AO23" s="784"/>
      <c r="AP23" s="408"/>
      <c r="AQ23" s="447"/>
      <c r="AR23" s="447"/>
      <c r="AS23" s="447"/>
      <c r="AT23" s="447"/>
      <c r="AU23" s="152"/>
      <c r="AV23" s="779"/>
      <c r="AW23" s="779"/>
      <c r="AX23" s="770"/>
      <c r="AY23" s="772"/>
      <c r="AZ23" s="780"/>
      <c r="BA23" s="785"/>
      <c r="BB23" s="786"/>
      <c r="BC23" s="408"/>
      <c r="BD23" s="447"/>
      <c r="BE23" s="447"/>
      <c r="BF23" s="447"/>
      <c r="BG23" s="447"/>
      <c r="BH23" s="152"/>
      <c r="BI23" s="779"/>
      <c r="BJ23" s="779"/>
      <c r="BK23" s="770"/>
      <c r="BL23" s="772"/>
      <c r="BM23" s="780"/>
      <c r="BN23" s="785"/>
      <c r="BO23" s="787"/>
      <c r="BP23" s="408"/>
      <c r="BQ23" s="447"/>
      <c r="BR23" s="447"/>
      <c r="BS23" s="447"/>
      <c r="BT23" s="447"/>
      <c r="BU23" s="152"/>
      <c r="BV23" s="779"/>
      <c r="BW23" s="779"/>
      <c r="BX23" s="770"/>
      <c r="BY23" s="772"/>
      <c r="BZ23" s="780"/>
      <c r="CA23" s="785"/>
      <c r="CB23" s="794"/>
      <c r="CC23" s="408"/>
      <c r="CD23" s="447"/>
      <c r="CE23" s="447"/>
      <c r="CF23" s="447"/>
      <c r="CG23" s="447"/>
      <c r="CH23" s="152"/>
      <c r="CI23" s="779"/>
      <c r="CJ23" s="779"/>
      <c r="CK23" s="770"/>
      <c r="CL23" s="772"/>
      <c r="CM23" s="780"/>
      <c r="CN23" s="785"/>
      <c r="CO23" s="789"/>
      <c r="CP23" s="408"/>
      <c r="CQ23" s="447"/>
      <c r="CR23" s="447"/>
      <c r="CS23" s="447"/>
      <c r="CT23" s="447"/>
      <c r="CU23" s="152"/>
      <c r="CV23" s="779"/>
      <c r="CW23" s="779"/>
      <c r="CX23" s="770"/>
      <c r="CY23" s="772"/>
      <c r="CZ23" s="780"/>
      <c r="DA23" s="772"/>
      <c r="DB23" s="790"/>
      <c r="DC23" s="408"/>
      <c r="DD23" s="447"/>
      <c r="DE23" s="447"/>
      <c r="DF23" s="447"/>
      <c r="DG23" s="447"/>
      <c r="DH23" s="152"/>
      <c r="DI23" s="779"/>
      <c r="DJ23" s="779"/>
      <c r="DK23" s="770"/>
      <c r="DL23" s="772"/>
      <c r="DM23" s="780"/>
      <c r="DN23" s="772"/>
      <c r="DO23" s="791"/>
      <c r="DP23" s="408"/>
      <c r="DQ23" s="447"/>
      <c r="DR23" s="447"/>
      <c r="DS23" s="447"/>
      <c r="DT23" s="447"/>
      <c r="DU23" s="152"/>
      <c r="DV23" s="779"/>
      <c r="DW23" s="779"/>
      <c r="DX23" s="770"/>
      <c r="DY23" s="772"/>
      <c r="DZ23" s="780"/>
      <c r="EA23" s="772"/>
      <c r="EB23" s="429"/>
      <c r="EC23" s="408"/>
      <c r="ED23" s="447"/>
      <c r="EE23" s="447"/>
      <c r="EF23" s="447"/>
      <c r="EG23" s="447"/>
      <c r="EH23" s="152"/>
      <c r="EI23" s="779"/>
      <c r="EJ23" s="779"/>
      <c r="EK23" s="770"/>
      <c r="EL23" s="772"/>
      <c r="EM23" s="780"/>
      <c r="EN23" s="770"/>
      <c r="EO23" s="792"/>
      <c r="EP23" s="408"/>
      <c r="EQ23" s="447"/>
      <c r="ER23" s="447"/>
      <c r="ES23" s="447"/>
      <c r="ET23" s="447"/>
      <c r="EU23" s="152"/>
      <c r="EV23" s="779"/>
      <c r="EW23" s="779"/>
      <c r="EX23" s="770"/>
      <c r="EY23" s="772"/>
      <c r="EZ23" s="780"/>
      <c r="FA23" s="776"/>
      <c r="FB23" s="776"/>
      <c r="FC23" s="776"/>
      <c r="FD23" s="776"/>
      <c r="FE23" s="776"/>
      <c r="FF23" s="776"/>
      <c r="FG23" s="776"/>
      <c r="FH23" s="776"/>
      <c r="FI23" s="776"/>
      <c r="FJ23" s="776"/>
      <c r="FK23" s="776"/>
    </row>
    <row r="24" spans="1:167" s="208" customFormat="1" ht="15" customHeight="1">
      <c r="A24" s="777"/>
      <c r="B24" s="778"/>
      <c r="C24" s="408" t="s">
        <v>55</v>
      </c>
      <c r="D24" s="386">
        <f>BudgetedData!B11</f>
        <v>63543</v>
      </c>
      <c r="E24" s="447">
        <f>Data!C12</f>
        <v>63741.470000000016</v>
      </c>
      <c r="F24" s="447">
        <f>Data!D12</f>
        <v>496.76684</v>
      </c>
      <c r="G24" s="447">
        <f>Data!E12</f>
        <v>699.4</v>
      </c>
      <c r="H24" s="152">
        <f t="shared" si="0"/>
        <v>63538.836840000011</v>
      </c>
      <c r="I24" s="779">
        <f t="shared" si="55"/>
        <v>0.99682101526682698</v>
      </c>
      <c r="J24" s="779">
        <f t="shared" si="56"/>
        <v>1.0972448548801899E-2</v>
      </c>
      <c r="K24" s="770">
        <f t="shared" si="57"/>
        <v>-198.47000000001572</v>
      </c>
      <c r="L24" s="772">
        <f t="shared" si="58"/>
        <v>202.63316000000486</v>
      </c>
      <c r="M24" s="780">
        <f t="shared" si="59"/>
        <v>4.1631599999891478</v>
      </c>
      <c r="N24" s="781"/>
      <c r="O24" s="793"/>
      <c r="P24" s="408" t="s">
        <v>55</v>
      </c>
      <c r="Q24" s="439">
        <f>BudgetedData!C11</f>
        <v>63793</v>
      </c>
      <c r="R24" s="419">
        <f>Data!C32</f>
        <v>64266.750000000007</v>
      </c>
      <c r="S24" s="447">
        <f>Data!D32</f>
        <v>677.63327000000004</v>
      </c>
      <c r="T24" s="419">
        <f>Data!E32</f>
        <v>827.35</v>
      </c>
      <c r="U24" s="152">
        <f t="shared" si="5"/>
        <v>64117.033270000007</v>
      </c>
      <c r="V24" s="779">
        <f t="shared" si="60"/>
        <v>0.99767038585271539</v>
      </c>
      <c r="W24" s="779">
        <f t="shared" si="61"/>
        <v>1.2873686626443689E-2</v>
      </c>
      <c r="X24" s="770">
        <f t="shared" si="62"/>
        <v>-473.75000000000728</v>
      </c>
      <c r="Y24" s="772">
        <f t="shared" si="63"/>
        <v>149.7167300000001</v>
      </c>
      <c r="Z24" s="780">
        <f t="shared" si="64"/>
        <v>-324.03327000000718</v>
      </c>
      <c r="AA24" s="781"/>
      <c r="AB24" s="783"/>
      <c r="AC24" s="408" t="s">
        <v>55</v>
      </c>
      <c r="AD24" s="447">
        <f>BudgetedData!D11</f>
        <v>59986</v>
      </c>
      <c r="AE24" s="447">
        <f>Data!C52</f>
        <v>60292.270000000011</v>
      </c>
      <c r="AF24" s="447">
        <f>Data!D52</f>
        <v>779.20014000000015</v>
      </c>
      <c r="AG24" s="447">
        <f>Data!E52</f>
        <v>781.7833333333333</v>
      </c>
      <c r="AH24" s="152">
        <f t="shared" si="10"/>
        <v>60289.686806666679</v>
      </c>
      <c r="AI24" s="779">
        <f>IF(AE24=0,"-",AH24/AE24)</f>
        <v>0.99995715548057273</v>
      </c>
      <c r="AJ24" s="779">
        <f t="shared" si="65"/>
        <v>1.2966559947624018E-2</v>
      </c>
      <c r="AK24" s="770">
        <f t="shared" si="66"/>
        <v>-306.27000000001135</v>
      </c>
      <c r="AL24" s="772">
        <f t="shared" si="67"/>
        <v>2.5831933333320194</v>
      </c>
      <c r="AM24" s="780">
        <f t="shared" si="68"/>
        <v>-303.68680666667933</v>
      </c>
      <c r="AN24" s="781"/>
      <c r="AO24" s="784"/>
      <c r="AP24" s="408" t="s">
        <v>55</v>
      </c>
      <c r="AQ24" s="447">
        <f>BudgetedData!E11</f>
        <v>62350</v>
      </c>
      <c r="AR24" s="447">
        <f>Data!C72</f>
        <v>64368.039999999994</v>
      </c>
      <c r="AS24" s="447">
        <f>Data!D72</f>
        <v>1117.8169</v>
      </c>
      <c r="AT24" s="447">
        <f>Data!E72</f>
        <v>1454.48343</v>
      </c>
      <c r="AU24" s="152">
        <f t="shared" si="69"/>
        <v>64031.373469999991</v>
      </c>
      <c r="AV24" s="779">
        <f t="shared" si="15"/>
        <v>0.99476966317445736</v>
      </c>
      <c r="AW24" s="779">
        <f t="shared" si="70"/>
        <v>2.2596360398732043E-2</v>
      </c>
      <c r="AX24" s="770">
        <f t="shared" si="71"/>
        <v>-2018.0399999999936</v>
      </c>
      <c r="AY24" s="772">
        <f t="shared" si="72"/>
        <v>336.66653000000224</v>
      </c>
      <c r="AZ24" s="780">
        <f t="shared" si="73"/>
        <v>-1681.3734699999914</v>
      </c>
      <c r="BA24" s="785"/>
      <c r="BB24" s="786"/>
      <c r="BC24" s="408" t="s">
        <v>55</v>
      </c>
      <c r="BD24" s="447">
        <f>BudgetedData!F11</f>
        <v>60237</v>
      </c>
      <c r="BE24" s="447">
        <f>Data!C92</f>
        <v>0</v>
      </c>
      <c r="BF24" s="447">
        <f>Data!D92</f>
        <v>0</v>
      </c>
      <c r="BG24" s="447">
        <f>Data!E92</f>
        <v>0</v>
      </c>
      <c r="BH24" s="152">
        <f t="shared" si="19"/>
        <v>0</v>
      </c>
      <c r="BI24" s="779" t="str">
        <f t="shared" si="74"/>
        <v>-</v>
      </c>
      <c r="BJ24" s="779" t="str">
        <f t="shared" si="75"/>
        <v>-</v>
      </c>
      <c r="BK24" s="770">
        <f t="shared" si="76"/>
        <v>60237</v>
      </c>
      <c r="BL24" s="772">
        <f t="shared" si="77"/>
        <v>0</v>
      </c>
      <c r="BM24" s="780">
        <f t="shared" si="78"/>
        <v>60237</v>
      </c>
      <c r="BN24" s="785"/>
      <c r="BO24" s="787"/>
      <c r="BP24" s="408" t="s">
        <v>55</v>
      </c>
      <c r="BQ24" s="447">
        <f>BudgetedData!G11</f>
        <v>62350</v>
      </c>
      <c r="BR24" s="447">
        <f>Data!C112</f>
        <v>0</v>
      </c>
      <c r="BS24" s="447">
        <f>Data!D112</f>
        <v>0</v>
      </c>
      <c r="BT24" s="447">
        <f>Data!E112</f>
        <v>0</v>
      </c>
      <c r="BU24" s="152">
        <f t="shared" si="24"/>
        <v>0</v>
      </c>
      <c r="BV24" s="779" t="str">
        <f t="shared" si="79"/>
        <v>-</v>
      </c>
      <c r="BW24" s="779" t="str">
        <f t="shared" si="80"/>
        <v>-</v>
      </c>
      <c r="BX24" s="770">
        <f t="shared" si="81"/>
        <v>62350</v>
      </c>
      <c r="BY24" s="772">
        <f t="shared" si="82"/>
        <v>0</v>
      </c>
      <c r="BZ24" s="780">
        <f t="shared" si="83"/>
        <v>62350</v>
      </c>
      <c r="CA24" s="785"/>
      <c r="CB24" s="794"/>
      <c r="CC24" s="408" t="s">
        <v>55</v>
      </c>
      <c r="CD24" s="447">
        <f>BudgetedData!H11</f>
        <v>62350</v>
      </c>
      <c r="CE24" s="447">
        <f>Data!C132</f>
        <v>0</v>
      </c>
      <c r="CF24" s="447">
        <f>Data!D132</f>
        <v>0</v>
      </c>
      <c r="CG24" s="447">
        <f>Data!E132</f>
        <v>0</v>
      </c>
      <c r="CH24" s="152">
        <f t="shared" si="29"/>
        <v>0</v>
      </c>
      <c r="CI24" s="779" t="str">
        <f t="shared" si="84"/>
        <v>-</v>
      </c>
      <c r="CJ24" s="779" t="str">
        <f t="shared" si="85"/>
        <v>-</v>
      </c>
      <c r="CK24" s="770">
        <f t="shared" si="86"/>
        <v>62350</v>
      </c>
      <c r="CL24" s="772">
        <f t="shared" si="87"/>
        <v>0</v>
      </c>
      <c r="CM24" s="780">
        <f t="shared" si="88"/>
        <v>62350</v>
      </c>
      <c r="CN24" s="772"/>
      <c r="CO24" s="789"/>
      <c r="CP24" s="408" t="s">
        <v>55</v>
      </c>
      <c r="CQ24" s="447">
        <f>BudgetedData!I11</f>
        <v>59066</v>
      </c>
      <c r="CR24" s="447">
        <f>Data!C152</f>
        <v>0</v>
      </c>
      <c r="CS24" s="447">
        <f>Data!D152</f>
        <v>0</v>
      </c>
      <c r="CT24" s="447">
        <f>Data!E152</f>
        <v>0</v>
      </c>
      <c r="CU24" s="152">
        <f t="shared" si="34"/>
        <v>0</v>
      </c>
      <c r="CV24" s="779" t="str">
        <f t="shared" si="89"/>
        <v>-</v>
      </c>
      <c r="CW24" s="779" t="str">
        <f t="shared" si="90"/>
        <v>-</v>
      </c>
      <c r="CX24" s="770">
        <f t="shared" si="91"/>
        <v>59066</v>
      </c>
      <c r="CY24" s="772">
        <f t="shared" si="92"/>
        <v>0</v>
      </c>
      <c r="CZ24" s="780">
        <f t="shared" si="93"/>
        <v>59066</v>
      </c>
      <c r="DA24" s="785"/>
      <c r="DB24" s="790"/>
      <c r="DC24" s="408" t="s">
        <v>55</v>
      </c>
      <c r="DD24" s="447">
        <f>BudgetedData!J11</f>
        <v>63543</v>
      </c>
      <c r="DE24" s="447">
        <f>Data!C172</f>
        <v>0</v>
      </c>
      <c r="DF24" s="447">
        <f>Data!D172</f>
        <v>0</v>
      </c>
      <c r="DG24" s="447">
        <f>Data!E172</f>
        <v>0</v>
      </c>
      <c r="DH24" s="152">
        <f t="shared" si="114"/>
        <v>0</v>
      </c>
      <c r="DI24" s="779" t="str">
        <f t="shared" si="94"/>
        <v>-</v>
      </c>
      <c r="DJ24" s="779" t="str">
        <f t="shared" si="95"/>
        <v>-</v>
      </c>
      <c r="DK24" s="770">
        <f t="shared" si="96"/>
        <v>63543</v>
      </c>
      <c r="DL24" s="772">
        <f t="shared" si="97"/>
        <v>0</v>
      </c>
      <c r="DM24" s="780">
        <f t="shared" si="98"/>
        <v>63543</v>
      </c>
      <c r="DN24" s="785"/>
      <c r="DO24" s="791"/>
      <c r="DP24" s="408" t="s">
        <v>55</v>
      </c>
      <c r="DQ24" s="447">
        <f>BudgetedData!K11</f>
        <v>62371</v>
      </c>
      <c r="DR24" s="447">
        <f>Data!C192</f>
        <v>0</v>
      </c>
      <c r="DS24" s="447">
        <f>Data!D192</f>
        <v>0</v>
      </c>
      <c r="DT24" s="447">
        <f>Data!E192</f>
        <v>0</v>
      </c>
      <c r="DU24" s="152">
        <f t="shared" si="40"/>
        <v>0</v>
      </c>
      <c r="DV24" s="779" t="str">
        <f t="shared" si="99"/>
        <v>-</v>
      </c>
      <c r="DW24" s="779" t="str">
        <f t="shared" si="100"/>
        <v>-</v>
      </c>
      <c r="DX24" s="770">
        <f t="shared" si="101"/>
        <v>62371</v>
      </c>
      <c r="DY24" s="772">
        <f t="shared" si="102"/>
        <v>0</v>
      </c>
      <c r="DZ24" s="780">
        <f t="shared" si="103"/>
        <v>62371</v>
      </c>
      <c r="EA24" s="785"/>
      <c r="EB24" s="429"/>
      <c r="EC24" s="408" t="s">
        <v>55</v>
      </c>
      <c r="ED24" s="447">
        <f>BudgetedData!L11</f>
        <v>61408</v>
      </c>
      <c r="EE24" s="447">
        <f>Data!C212</f>
        <v>0</v>
      </c>
      <c r="EF24" s="447">
        <f>Data!D212</f>
        <v>0</v>
      </c>
      <c r="EG24" s="447">
        <f>Data!E212</f>
        <v>0</v>
      </c>
      <c r="EH24" s="152">
        <f t="shared" si="45"/>
        <v>0</v>
      </c>
      <c r="EI24" s="779" t="str">
        <f t="shared" si="104"/>
        <v>-</v>
      </c>
      <c r="EJ24" s="779" t="str">
        <f t="shared" si="105"/>
        <v>-</v>
      </c>
      <c r="EK24" s="770">
        <f t="shared" si="106"/>
        <v>61408</v>
      </c>
      <c r="EL24" s="772">
        <f t="shared" si="107"/>
        <v>0</v>
      </c>
      <c r="EM24" s="780">
        <f t="shared" si="108"/>
        <v>61408</v>
      </c>
      <c r="EN24" s="781"/>
      <c r="EO24" s="792"/>
      <c r="EP24" s="408" t="s">
        <v>55</v>
      </c>
      <c r="EQ24" s="447">
        <f>BudgetedData!M11</f>
        <v>62371</v>
      </c>
      <c r="ER24" s="447">
        <f>Data!C232</f>
        <v>0</v>
      </c>
      <c r="ES24" s="447">
        <f>Data!D232</f>
        <v>0</v>
      </c>
      <c r="ET24" s="447">
        <f>Data!E232</f>
        <v>0</v>
      </c>
      <c r="EU24" s="152">
        <f t="shared" si="50"/>
        <v>0</v>
      </c>
      <c r="EV24" s="779" t="str">
        <f t="shared" si="109"/>
        <v>-</v>
      </c>
      <c r="EW24" s="779" t="str">
        <f t="shared" si="110"/>
        <v>-</v>
      </c>
      <c r="EX24" s="770">
        <f t="shared" si="111"/>
        <v>62371</v>
      </c>
      <c r="EY24" s="772">
        <f t="shared" si="112"/>
        <v>0</v>
      </c>
      <c r="EZ24" s="780">
        <f t="shared" si="113"/>
        <v>62371</v>
      </c>
      <c r="FA24" s="776"/>
      <c r="FB24" s="776"/>
      <c r="FC24" s="776"/>
      <c r="FD24" s="776"/>
      <c r="FE24" s="776"/>
      <c r="FF24" s="776"/>
      <c r="FG24" s="776"/>
      <c r="FH24" s="776"/>
      <c r="FI24" s="776"/>
      <c r="FJ24" s="776"/>
      <c r="FK24" s="776"/>
    </row>
    <row r="25" spans="1:167" s="208" customFormat="1" ht="15" customHeight="1">
      <c r="A25" s="777"/>
      <c r="B25" s="778"/>
      <c r="C25" s="408"/>
      <c r="D25" s="386"/>
      <c r="E25" s="447"/>
      <c r="F25" s="447"/>
      <c r="G25" s="447"/>
      <c r="H25" s="152"/>
      <c r="I25" s="779"/>
      <c r="J25" s="779"/>
      <c r="K25" s="770"/>
      <c r="L25" s="772"/>
      <c r="M25" s="780"/>
      <c r="N25" s="781"/>
      <c r="O25" s="793"/>
      <c r="P25" s="408"/>
      <c r="Q25" s="439"/>
      <c r="R25" s="419"/>
      <c r="S25" s="447"/>
      <c r="T25" s="419"/>
      <c r="U25" s="152"/>
      <c r="V25" s="779"/>
      <c r="W25" s="779"/>
      <c r="X25" s="770"/>
      <c r="Y25" s="772"/>
      <c r="Z25" s="780"/>
      <c r="AA25" s="781"/>
      <c r="AB25" s="783"/>
      <c r="AC25" s="408"/>
      <c r="AD25" s="447"/>
      <c r="AE25" s="447"/>
      <c r="AF25" s="447"/>
      <c r="AG25" s="447"/>
      <c r="AH25" s="152"/>
      <c r="AI25" s="779"/>
      <c r="AJ25" s="779"/>
      <c r="AK25" s="770"/>
      <c r="AL25" s="772"/>
      <c r="AM25" s="780"/>
      <c r="AN25" s="781"/>
      <c r="AO25" s="784"/>
      <c r="AP25" s="408"/>
      <c r="AQ25" s="447"/>
      <c r="AR25" s="447"/>
      <c r="AS25" s="447"/>
      <c r="AT25" s="447"/>
      <c r="AU25" s="152"/>
      <c r="AV25" s="779"/>
      <c r="AW25" s="779"/>
      <c r="AX25" s="770"/>
      <c r="AY25" s="772"/>
      <c r="AZ25" s="780"/>
      <c r="BA25" s="785"/>
      <c r="BB25" s="786"/>
      <c r="BC25" s="408"/>
      <c r="BD25" s="447"/>
      <c r="BE25" s="447"/>
      <c r="BF25" s="447"/>
      <c r="BG25" s="447"/>
      <c r="BH25" s="152"/>
      <c r="BI25" s="779"/>
      <c r="BJ25" s="779"/>
      <c r="BK25" s="770"/>
      <c r="BL25" s="772"/>
      <c r="BM25" s="780"/>
      <c r="BN25" s="785"/>
      <c r="BO25" s="787"/>
      <c r="BP25" s="408"/>
      <c r="BQ25" s="447"/>
      <c r="BR25" s="447"/>
      <c r="BS25" s="447"/>
      <c r="BT25" s="447"/>
      <c r="BU25" s="152"/>
      <c r="BV25" s="779"/>
      <c r="BW25" s="779"/>
      <c r="BX25" s="770"/>
      <c r="BY25" s="772"/>
      <c r="BZ25" s="780"/>
      <c r="CA25" s="785"/>
      <c r="CB25" s="794"/>
      <c r="CC25" s="408"/>
      <c r="CD25" s="447"/>
      <c r="CE25" s="447"/>
      <c r="CF25" s="447"/>
      <c r="CG25" s="447"/>
      <c r="CH25" s="152"/>
      <c r="CI25" s="779"/>
      <c r="CJ25" s="779"/>
      <c r="CK25" s="770"/>
      <c r="CL25" s="772"/>
      <c r="CM25" s="780"/>
      <c r="CN25" s="772"/>
      <c r="CO25" s="789"/>
      <c r="CP25" s="408"/>
      <c r="CQ25" s="447"/>
      <c r="CR25" s="447"/>
      <c r="CS25" s="447"/>
      <c r="CT25" s="447"/>
      <c r="CU25" s="152"/>
      <c r="CV25" s="779"/>
      <c r="CW25" s="779"/>
      <c r="CX25" s="770"/>
      <c r="CY25" s="772"/>
      <c r="CZ25" s="780"/>
      <c r="DA25" s="785"/>
      <c r="DB25" s="790"/>
      <c r="DC25" s="408"/>
      <c r="DD25" s="447"/>
      <c r="DE25" s="447"/>
      <c r="DF25" s="447"/>
      <c r="DG25" s="447"/>
      <c r="DH25" s="152"/>
      <c r="DI25" s="779"/>
      <c r="DJ25" s="779"/>
      <c r="DK25" s="770"/>
      <c r="DL25" s="772"/>
      <c r="DM25" s="780"/>
      <c r="DN25" s="785"/>
      <c r="DO25" s="791"/>
      <c r="DP25" s="408"/>
      <c r="DQ25" s="447"/>
      <c r="DR25" s="447"/>
      <c r="DS25" s="447"/>
      <c r="DT25" s="447"/>
      <c r="DU25" s="152"/>
      <c r="DV25" s="779"/>
      <c r="DW25" s="779"/>
      <c r="DX25" s="770"/>
      <c r="DY25" s="772"/>
      <c r="DZ25" s="780"/>
      <c r="EA25" s="785"/>
      <c r="EB25" s="429"/>
      <c r="EC25" s="408"/>
      <c r="ED25" s="447"/>
      <c r="EE25" s="447"/>
      <c r="EF25" s="447"/>
      <c r="EG25" s="447"/>
      <c r="EH25" s="152"/>
      <c r="EI25" s="779"/>
      <c r="EJ25" s="779"/>
      <c r="EK25" s="770"/>
      <c r="EL25" s="772"/>
      <c r="EM25" s="780"/>
      <c r="EN25" s="781"/>
      <c r="EO25" s="792"/>
      <c r="EP25" s="408"/>
      <c r="EQ25" s="447"/>
      <c r="ER25" s="447"/>
      <c r="ES25" s="447"/>
      <c r="ET25" s="447"/>
      <c r="EU25" s="152"/>
      <c r="EV25" s="779"/>
      <c r="EW25" s="779"/>
      <c r="EX25" s="770"/>
      <c r="EY25" s="772"/>
      <c r="EZ25" s="780"/>
      <c r="FA25" s="776"/>
      <c r="FB25" s="776"/>
      <c r="FC25" s="776"/>
      <c r="FD25" s="776"/>
      <c r="FE25" s="776"/>
      <c r="FF25" s="776"/>
      <c r="FG25" s="776"/>
      <c r="FH25" s="776"/>
      <c r="FI25" s="776"/>
      <c r="FJ25" s="776"/>
      <c r="FK25" s="776"/>
    </row>
    <row r="26" spans="1:167" s="208" customFormat="1" ht="15" customHeight="1">
      <c r="A26" s="780"/>
      <c r="B26" s="778"/>
      <c r="C26" s="408" t="s">
        <v>56</v>
      </c>
      <c r="D26" s="386">
        <f>BudgetedData!B12</f>
        <v>64468</v>
      </c>
      <c r="E26" s="447">
        <f>Data!C13</f>
        <v>64818</v>
      </c>
      <c r="F26" s="447">
        <f>Data!D13</f>
        <v>627.23362999999995</v>
      </c>
      <c r="G26" s="447">
        <f>Data!E13</f>
        <v>1113.2666666666664</v>
      </c>
      <c r="H26" s="152">
        <f t="shared" si="0"/>
        <v>64331.96696333334</v>
      </c>
      <c r="I26" s="779">
        <f t="shared" si="55"/>
        <v>0.9925015730712663</v>
      </c>
      <c r="J26" s="779">
        <f t="shared" si="56"/>
        <v>1.7175270243862298E-2</v>
      </c>
      <c r="K26" s="770">
        <f t="shared" si="57"/>
        <v>-350</v>
      </c>
      <c r="L26" s="772">
        <f t="shared" si="58"/>
        <v>486.03303666666034</v>
      </c>
      <c r="M26" s="780">
        <f t="shared" si="59"/>
        <v>136.03303666666034</v>
      </c>
      <c r="N26" s="770"/>
      <c r="O26" s="793"/>
      <c r="P26" s="408" t="s">
        <v>56</v>
      </c>
      <c r="Q26" s="439">
        <f>BudgetedData!C12</f>
        <v>64732</v>
      </c>
      <c r="R26" s="419">
        <f>Data!C33</f>
        <v>66033.66</v>
      </c>
      <c r="S26" s="447">
        <f>Data!D33</f>
        <v>775.68323999999996</v>
      </c>
      <c r="T26" s="419">
        <f>Data!E33</f>
        <v>1028.5</v>
      </c>
      <c r="U26" s="152">
        <f t="shared" si="5"/>
        <v>65780.843240000002</v>
      </c>
      <c r="V26" s="779">
        <f t="shared" si="60"/>
        <v>0.99617139561853751</v>
      </c>
      <c r="W26" s="779">
        <f t="shared" si="61"/>
        <v>1.5575389884492242E-2</v>
      </c>
      <c r="X26" s="770">
        <f t="shared" si="62"/>
        <v>-1301.6600000000035</v>
      </c>
      <c r="Y26" s="772">
        <f t="shared" si="63"/>
        <v>252.81676000000152</v>
      </c>
      <c r="Z26" s="780">
        <f t="shared" si="64"/>
        <v>-1048.843240000002</v>
      </c>
      <c r="AA26" s="770"/>
      <c r="AB26" s="783"/>
      <c r="AC26" s="408" t="s">
        <v>56</v>
      </c>
      <c r="AD26" s="447">
        <f>BudgetedData!D12</f>
        <v>61210</v>
      </c>
      <c r="AE26" s="447">
        <f>Data!C53</f>
        <v>61372.85</v>
      </c>
      <c r="AF26" s="447">
        <f>Data!D53</f>
        <v>869.78365999999994</v>
      </c>
      <c r="AG26" s="447">
        <f>Data!E53</f>
        <v>1418.7333333333336</v>
      </c>
      <c r="AH26" s="152">
        <f t="shared" si="10"/>
        <v>60823.90032666667</v>
      </c>
      <c r="AI26" s="779">
        <f>IF(AE26=0,"-",AH26/AE26)</f>
        <v>0.99105549647224578</v>
      </c>
      <c r="AJ26" s="779">
        <f t="shared" si="65"/>
        <v>2.311662784656951E-2</v>
      </c>
      <c r="AK26" s="770">
        <f t="shared" si="66"/>
        <v>-162.84999999999854</v>
      </c>
      <c r="AL26" s="772">
        <f t="shared" si="67"/>
        <v>548.94967333332897</v>
      </c>
      <c r="AM26" s="780">
        <f t="shared" si="68"/>
        <v>386.09967333333043</v>
      </c>
      <c r="AN26" s="770"/>
      <c r="AO26" s="784"/>
      <c r="AP26" s="408" t="s">
        <v>56</v>
      </c>
      <c r="AQ26" s="447">
        <f>BudgetedData!E12</f>
        <v>63529</v>
      </c>
      <c r="AR26" s="447">
        <f>Data!C73</f>
        <v>64853.660000000011</v>
      </c>
      <c r="AS26" s="447">
        <f>Data!D73</f>
        <v>915.96676000000025</v>
      </c>
      <c r="AT26" s="447">
        <f>Data!E73</f>
        <v>1442.9163999999996</v>
      </c>
      <c r="AU26" s="152">
        <f t="shared" si="69"/>
        <v>64326.710360000012</v>
      </c>
      <c r="AV26" s="779">
        <f t="shared" si="15"/>
        <v>0.99187478948759411</v>
      </c>
      <c r="AW26" s="779">
        <f t="shared" si="70"/>
        <v>2.2248804462230803E-2</v>
      </c>
      <c r="AX26" s="770">
        <f t="shared" si="71"/>
        <v>-1324.6600000000108</v>
      </c>
      <c r="AY26" s="772">
        <f t="shared" si="72"/>
        <v>526.94963999999891</v>
      </c>
      <c r="AZ26" s="780">
        <f t="shared" si="73"/>
        <v>-797.71036000001186</v>
      </c>
      <c r="BA26" s="772"/>
      <c r="BB26" s="786"/>
      <c r="BC26" s="408" t="s">
        <v>56</v>
      </c>
      <c r="BD26" s="447">
        <f>BudgetedData!F12</f>
        <v>61474</v>
      </c>
      <c r="BE26" s="447">
        <f>Data!C93</f>
        <v>0</v>
      </c>
      <c r="BF26" s="447">
        <f>Data!D93</f>
        <v>0</v>
      </c>
      <c r="BG26" s="447">
        <f>Data!E93</f>
        <v>0</v>
      </c>
      <c r="BH26" s="152">
        <f t="shared" si="19"/>
        <v>0</v>
      </c>
      <c r="BI26" s="779" t="str">
        <f t="shared" si="74"/>
        <v>-</v>
      </c>
      <c r="BJ26" s="779" t="str">
        <f t="shared" si="75"/>
        <v>-</v>
      </c>
      <c r="BK26" s="770">
        <f t="shared" si="76"/>
        <v>61474</v>
      </c>
      <c r="BL26" s="772">
        <f t="shared" si="77"/>
        <v>0</v>
      </c>
      <c r="BM26" s="780">
        <f t="shared" si="78"/>
        <v>61474</v>
      </c>
      <c r="BN26" s="772"/>
      <c r="BO26" s="787"/>
      <c r="BP26" s="408" t="s">
        <v>56</v>
      </c>
      <c r="BQ26" s="447">
        <f>BudgetedData!G12</f>
        <v>63529</v>
      </c>
      <c r="BR26" s="447">
        <f>Data!C113</f>
        <v>0</v>
      </c>
      <c r="BS26" s="447">
        <f>Data!D113</f>
        <v>0</v>
      </c>
      <c r="BT26" s="447">
        <f>Data!E113</f>
        <v>0</v>
      </c>
      <c r="BU26" s="152">
        <f t="shared" si="24"/>
        <v>0</v>
      </c>
      <c r="BV26" s="779" t="str">
        <f t="shared" si="79"/>
        <v>-</v>
      </c>
      <c r="BW26" s="779" t="str">
        <f t="shared" si="80"/>
        <v>-</v>
      </c>
      <c r="BX26" s="770">
        <f t="shared" si="81"/>
        <v>63529</v>
      </c>
      <c r="BY26" s="772">
        <f t="shared" si="82"/>
        <v>0</v>
      </c>
      <c r="BZ26" s="780">
        <f t="shared" si="83"/>
        <v>63529</v>
      </c>
      <c r="CA26" s="772"/>
      <c r="CB26" s="794"/>
      <c r="CC26" s="408" t="s">
        <v>56</v>
      </c>
      <c r="CD26" s="447">
        <f>BudgetedData!H12</f>
        <v>63529</v>
      </c>
      <c r="CE26" s="447">
        <f>Data!C133</f>
        <v>0</v>
      </c>
      <c r="CF26" s="447">
        <f>Data!D133</f>
        <v>0</v>
      </c>
      <c r="CG26" s="447">
        <f>Data!E133</f>
        <v>0</v>
      </c>
      <c r="CH26" s="152">
        <f t="shared" si="29"/>
        <v>0</v>
      </c>
      <c r="CI26" s="779" t="str">
        <f t="shared" si="84"/>
        <v>-</v>
      </c>
      <c r="CJ26" s="779" t="str">
        <f t="shared" si="85"/>
        <v>-</v>
      </c>
      <c r="CK26" s="770">
        <f t="shared" si="86"/>
        <v>63529</v>
      </c>
      <c r="CL26" s="772">
        <f t="shared" si="87"/>
        <v>0</v>
      </c>
      <c r="CM26" s="780">
        <f t="shared" si="88"/>
        <v>63529</v>
      </c>
      <c r="CN26" s="781"/>
      <c r="CO26" s="789"/>
      <c r="CP26" s="408" t="s">
        <v>56</v>
      </c>
      <c r="CQ26" s="447">
        <f>BudgetedData!I12</f>
        <v>60095</v>
      </c>
      <c r="CR26" s="447">
        <f>Data!C153</f>
        <v>0</v>
      </c>
      <c r="CS26" s="447">
        <f>Data!D153</f>
        <v>0</v>
      </c>
      <c r="CT26" s="447">
        <f>Data!E153</f>
        <v>0</v>
      </c>
      <c r="CU26" s="152">
        <f t="shared" si="34"/>
        <v>0</v>
      </c>
      <c r="CV26" s="779" t="str">
        <f t="shared" si="89"/>
        <v>-</v>
      </c>
      <c r="CW26" s="779" t="str">
        <f t="shared" si="90"/>
        <v>-</v>
      </c>
      <c r="CX26" s="770">
        <f t="shared" si="91"/>
        <v>60095</v>
      </c>
      <c r="CY26" s="772">
        <f t="shared" si="92"/>
        <v>0</v>
      </c>
      <c r="CZ26" s="780">
        <f t="shared" si="93"/>
        <v>60095</v>
      </c>
      <c r="DA26" s="772"/>
      <c r="DB26" s="790"/>
      <c r="DC26" s="408" t="s">
        <v>56</v>
      </c>
      <c r="DD26" s="447">
        <f>BudgetedData!J12</f>
        <v>64468</v>
      </c>
      <c r="DE26" s="447">
        <f>Data!C173</f>
        <v>0</v>
      </c>
      <c r="DF26" s="447">
        <f>Data!D173</f>
        <v>0</v>
      </c>
      <c r="DG26" s="447">
        <f>Data!E173</f>
        <v>0</v>
      </c>
      <c r="DH26" s="152">
        <f t="shared" si="114"/>
        <v>0</v>
      </c>
      <c r="DI26" s="779" t="str">
        <f t="shared" si="94"/>
        <v>-</v>
      </c>
      <c r="DJ26" s="779" t="str">
        <f t="shared" si="95"/>
        <v>-</v>
      </c>
      <c r="DK26" s="770">
        <f t="shared" si="96"/>
        <v>64468</v>
      </c>
      <c r="DL26" s="772">
        <f t="shared" si="97"/>
        <v>0</v>
      </c>
      <c r="DM26" s="780">
        <f t="shared" si="98"/>
        <v>64468</v>
      </c>
      <c r="DN26" s="772"/>
      <c r="DO26" s="791"/>
      <c r="DP26" s="408" t="s">
        <v>56</v>
      </c>
      <c r="DQ26" s="447">
        <f>BudgetedData!K12</f>
        <v>63089</v>
      </c>
      <c r="DR26" s="447">
        <f>Data!C193</f>
        <v>0</v>
      </c>
      <c r="DS26" s="447">
        <f>Data!D193</f>
        <v>0</v>
      </c>
      <c r="DT26" s="447">
        <f>Data!E193</f>
        <v>0</v>
      </c>
      <c r="DU26" s="152">
        <f t="shared" si="40"/>
        <v>0</v>
      </c>
      <c r="DV26" s="779" t="str">
        <f t="shared" si="99"/>
        <v>-</v>
      </c>
      <c r="DW26" s="779" t="str">
        <f t="shared" si="100"/>
        <v>-</v>
      </c>
      <c r="DX26" s="770">
        <f t="shared" si="101"/>
        <v>63089</v>
      </c>
      <c r="DY26" s="772">
        <f t="shared" si="102"/>
        <v>0</v>
      </c>
      <c r="DZ26" s="780">
        <f t="shared" si="103"/>
        <v>63089</v>
      </c>
      <c r="EA26" s="772"/>
      <c r="EB26" s="429"/>
      <c r="EC26" s="408" t="s">
        <v>56</v>
      </c>
      <c r="ED26" s="447">
        <f>BudgetedData!L12</f>
        <v>62852</v>
      </c>
      <c r="EE26" s="447">
        <f>Data!C213</f>
        <v>0</v>
      </c>
      <c r="EF26" s="447">
        <f>Data!D213</f>
        <v>0</v>
      </c>
      <c r="EG26" s="447">
        <f>Data!E213</f>
        <v>0</v>
      </c>
      <c r="EH26" s="152">
        <f t="shared" si="45"/>
        <v>0</v>
      </c>
      <c r="EI26" s="779" t="str">
        <f t="shared" si="104"/>
        <v>-</v>
      </c>
      <c r="EJ26" s="779" t="str">
        <f t="shared" si="105"/>
        <v>-</v>
      </c>
      <c r="EK26" s="770">
        <f t="shared" si="106"/>
        <v>62852</v>
      </c>
      <c r="EL26" s="772">
        <f t="shared" si="107"/>
        <v>0</v>
      </c>
      <c r="EM26" s="780">
        <f t="shared" si="108"/>
        <v>62852</v>
      </c>
      <c r="EN26" s="770"/>
      <c r="EO26" s="792"/>
      <c r="EP26" s="408" t="s">
        <v>56</v>
      </c>
      <c r="EQ26" s="447">
        <f>BudgetedData!M12</f>
        <v>63089</v>
      </c>
      <c r="ER26" s="447">
        <f>Data!C233</f>
        <v>0</v>
      </c>
      <c r="ES26" s="447">
        <f>Data!D233</f>
        <v>0</v>
      </c>
      <c r="ET26" s="447">
        <f>Data!E233</f>
        <v>0</v>
      </c>
      <c r="EU26" s="152">
        <f t="shared" si="50"/>
        <v>0</v>
      </c>
      <c r="EV26" s="779" t="str">
        <f t="shared" si="109"/>
        <v>-</v>
      </c>
      <c r="EW26" s="779" t="str">
        <f t="shared" si="110"/>
        <v>-</v>
      </c>
      <c r="EX26" s="770">
        <f t="shared" si="111"/>
        <v>63089</v>
      </c>
      <c r="EY26" s="772">
        <f t="shared" si="112"/>
        <v>0</v>
      </c>
      <c r="EZ26" s="780">
        <f t="shared" si="113"/>
        <v>63089</v>
      </c>
      <c r="FA26" s="776"/>
      <c r="FB26" s="776"/>
      <c r="FC26" s="776"/>
      <c r="FD26" s="776"/>
      <c r="FE26" s="776"/>
      <c r="FF26" s="776"/>
      <c r="FG26" s="776"/>
      <c r="FH26" s="776"/>
      <c r="FI26" s="776"/>
      <c r="FJ26" s="776"/>
      <c r="FK26" s="776"/>
    </row>
    <row r="27" spans="1:167" s="208" customFormat="1" ht="14.45" customHeight="1" thickBot="1">
      <c r="A27" s="780"/>
      <c r="B27" s="778"/>
      <c r="C27" s="408"/>
      <c r="D27" s="386"/>
      <c r="E27" s="447"/>
      <c r="F27" s="447"/>
      <c r="G27" s="214"/>
      <c r="H27" s="399"/>
      <c r="I27" s="779"/>
      <c r="J27" s="779"/>
      <c r="K27" s="770"/>
      <c r="L27" s="772"/>
      <c r="M27" s="780"/>
      <c r="N27" s="770"/>
      <c r="O27" s="793"/>
      <c r="P27" s="795"/>
      <c r="Q27" s="796"/>
      <c r="R27" s="780"/>
      <c r="S27" s="447"/>
      <c r="T27" s="214"/>
      <c r="U27" s="405"/>
      <c r="V27" s="779"/>
      <c r="W27" s="779"/>
      <c r="X27" s="770"/>
      <c r="Y27" s="772"/>
      <c r="Z27" s="780"/>
      <c r="AA27" s="770"/>
      <c r="AB27" s="783"/>
      <c r="AC27" s="408"/>
      <c r="AD27" s="447"/>
      <c r="AE27" s="447"/>
      <c r="AF27" s="447"/>
      <c r="AG27" s="214"/>
      <c r="AH27" s="152"/>
      <c r="AI27" s="779"/>
      <c r="AJ27" s="779"/>
      <c r="AK27" s="770"/>
      <c r="AL27" s="772"/>
      <c r="AM27" s="780"/>
      <c r="AN27" s="770"/>
      <c r="AO27" s="784"/>
      <c r="AP27" s="408"/>
      <c r="AQ27" s="447"/>
      <c r="AR27" s="447"/>
      <c r="AS27" s="447"/>
      <c r="AT27" s="214"/>
      <c r="AU27" s="152"/>
      <c r="AV27" s="779"/>
      <c r="AW27" s="779"/>
      <c r="AX27" s="770"/>
      <c r="AY27" s="772"/>
      <c r="AZ27" s="780"/>
      <c r="BA27" s="772"/>
      <c r="BB27" s="786"/>
      <c r="BC27" s="408"/>
      <c r="BD27" s="447"/>
      <c r="BE27" s="447"/>
      <c r="BF27" s="447"/>
      <c r="BG27" s="214"/>
      <c r="BH27" s="152"/>
      <c r="BI27" s="779"/>
      <c r="BJ27" s="779"/>
      <c r="BK27" s="770"/>
      <c r="BL27" s="772"/>
      <c r="BM27" s="780"/>
      <c r="BN27" s="772"/>
      <c r="BO27" s="787"/>
      <c r="BP27" s="408"/>
      <c r="BQ27" s="447"/>
      <c r="BR27" s="447"/>
      <c r="BS27" s="447"/>
      <c r="BT27" s="214"/>
      <c r="BU27" s="152"/>
      <c r="BV27" s="779"/>
      <c r="BW27" s="779"/>
      <c r="BX27" s="770"/>
      <c r="BY27" s="772"/>
      <c r="BZ27" s="780"/>
      <c r="CA27" s="772"/>
      <c r="CB27" s="794"/>
      <c r="CC27" s="408"/>
      <c r="CD27" s="447"/>
      <c r="CE27" s="447"/>
      <c r="CF27" s="447"/>
      <c r="CG27" s="214"/>
      <c r="CH27" s="152"/>
      <c r="CI27" s="779"/>
      <c r="CJ27" s="779"/>
      <c r="CK27" s="770"/>
      <c r="CL27" s="772"/>
      <c r="CM27" s="780"/>
      <c r="CN27" s="211"/>
      <c r="CO27" s="789"/>
      <c r="CP27" s="408"/>
      <c r="CQ27" s="447"/>
      <c r="CR27" s="447"/>
      <c r="CS27" s="447"/>
      <c r="CT27" s="214"/>
      <c r="CU27" s="152"/>
      <c r="CV27" s="779"/>
      <c r="CW27" s="779"/>
      <c r="CX27" s="770"/>
      <c r="CY27" s="772"/>
      <c r="CZ27" s="780"/>
      <c r="DA27" s="772"/>
      <c r="DB27" s="790"/>
      <c r="DC27" s="408"/>
      <c r="DD27" s="447"/>
      <c r="DE27" s="447"/>
      <c r="DF27" s="447"/>
      <c r="DG27" s="214"/>
      <c r="DH27" s="152"/>
      <c r="DI27" s="779"/>
      <c r="DJ27" s="779"/>
      <c r="DK27" s="770"/>
      <c r="DL27" s="772"/>
      <c r="DM27" s="780"/>
      <c r="DN27" s="772"/>
      <c r="DO27" s="791"/>
      <c r="DP27" s="408"/>
      <c r="DQ27" s="447"/>
      <c r="DR27" s="447"/>
      <c r="DS27" s="447"/>
      <c r="DT27" s="214"/>
      <c r="DU27" s="152"/>
      <c r="DV27" s="779"/>
      <c r="DW27" s="779"/>
      <c r="DX27" s="770"/>
      <c r="DY27" s="772"/>
      <c r="DZ27" s="780"/>
      <c r="EA27" s="772"/>
      <c r="EB27" s="429"/>
      <c r="EC27" s="408"/>
      <c r="ED27" s="447"/>
      <c r="EE27" s="447"/>
      <c r="EF27" s="447"/>
      <c r="EG27" s="214"/>
      <c r="EH27" s="152"/>
      <c r="EI27" s="779"/>
      <c r="EJ27" s="779"/>
      <c r="EK27" s="770"/>
      <c r="EL27" s="772"/>
      <c r="EM27" s="780"/>
      <c r="EN27" s="770"/>
      <c r="EO27" s="792"/>
      <c r="EP27" s="408"/>
      <c r="EQ27" s="447"/>
      <c r="ER27" s="447"/>
      <c r="ES27" s="447"/>
      <c r="ET27" s="214"/>
      <c r="EU27" s="152"/>
      <c r="EV27" s="779"/>
      <c r="EW27" s="779"/>
      <c r="EX27" s="770"/>
      <c r="EY27" s="772"/>
      <c r="EZ27" s="780"/>
      <c r="FA27" s="25"/>
      <c r="FB27" s="25"/>
      <c r="FC27" s="25"/>
      <c r="FD27" s="785"/>
      <c r="FE27" s="25"/>
      <c r="FF27" s="211"/>
      <c r="FG27" s="211"/>
      <c r="FH27" s="25"/>
      <c r="FI27" s="25"/>
      <c r="FJ27" s="25"/>
      <c r="FK27" s="25"/>
    </row>
    <row r="28" spans="1:167" s="208" customFormat="1" ht="15" customHeight="1" thickTop="1" thickBot="1">
      <c r="A28" s="777"/>
      <c r="B28" s="797"/>
      <c r="C28" s="270" t="s">
        <v>57</v>
      </c>
      <c r="D28" s="387">
        <f>SUM(D6:D27)</f>
        <v>561831</v>
      </c>
      <c r="E28" s="272">
        <f>SUM(E6:E27)</f>
        <v>561731.66500000004</v>
      </c>
      <c r="F28" s="272">
        <f>SUM(F6:F27)</f>
        <v>4993.6840000000002</v>
      </c>
      <c r="G28" s="354">
        <f>SUM(G6:G27)</f>
        <v>10982.15</v>
      </c>
      <c r="H28" s="400">
        <f>+E28+F28-G28</f>
        <v>555743.19900000002</v>
      </c>
      <c r="I28" s="366">
        <f>IF(E28=0,"-",H28/E28)</f>
        <v>0.9893392764319241</v>
      </c>
      <c r="J28" s="366">
        <f>IF(ISERROR(G28/E28),"-",G28/E28)</f>
        <v>1.9550526851641877E-2</v>
      </c>
      <c r="K28" s="357">
        <f>D28-E28</f>
        <v>99.334999999962747</v>
      </c>
      <c r="L28" s="354">
        <f>E28-H28</f>
        <v>5988.4660000000149</v>
      </c>
      <c r="M28" s="358">
        <f>D28-H28</f>
        <v>6087.8009999999776</v>
      </c>
      <c r="N28" s="781"/>
      <c r="O28" s="798"/>
      <c r="P28" s="358" t="s">
        <v>57</v>
      </c>
      <c r="Q28" s="272">
        <f>SUM(Q6:Q27)</f>
        <v>564359</v>
      </c>
      <c r="R28" s="272">
        <f>SUM(R6:R27)</f>
        <v>565814.23400000005</v>
      </c>
      <c r="S28" s="272">
        <f>SUM(S6:S27)</f>
        <v>6312.2162770000004</v>
      </c>
      <c r="T28" s="354">
        <f>SUM(T6:T27)</f>
        <v>11766</v>
      </c>
      <c r="U28" s="272">
        <f>+R28+S28-T28</f>
        <v>560360.45027700008</v>
      </c>
      <c r="V28" s="366">
        <f>IF(R28=0,"-",U28/R28)</f>
        <v>0.99036117616828989</v>
      </c>
      <c r="W28" s="366">
        <f>IF(ISERROR(T28/R28),"-",T28/R28)</f>
        <v>2.0794810899013191E-2</v>
      </c>
      <c r="X28" s="357">
        <f>Q28-R28</f>
        <v>-1455.2340000000549</v>
      </c>
      <c r="Y28" s="354">
        <f>R28-U28</f>
        <v>5453.7837229999714</v>
      </c>
      <c r="Z28" s="358">
        <f>Q28-U28</f>
        <v>3998.5497229999164</v>
      </c>
      <c r="AA28" s="781"/>
      <c r="AB28" s="799"/>
      <c r="AC28" s="271" t="s">
        <v>57</v>
      </c>
      <c r="AD28" s="272">
        <f>SUM(AD6:AD27)</f>
        <v>531563</v>
      </c>
      <c r="AE28" s="272">
        <f>SUM(AE6:AE27)</f>
        <v>529584.26300000004</v>
      </c>
      <c r="AF28" s="272">
        <f>SUM(AF6:AF27)</f>
        <v>7308.9002370000007</v>
      </c>
      <c r="AG28" s="354">
        <f>SUM(AG6:AG27)</f>
        <v>12656.483333333334</v>
      </c>
      <c r="AH28" s="272">
        <f>+AE28+AF28-AG28</f>
        <v>524236.67990366666</v>
      </c>
      <c r="AI28" s="366">
        <f>IF(AE28=0,"-",AH28/AE28)</f>
        <v>0.98990229984169043</v>
      </c>
      <c r="AJ28" s="366">
        <f>IF(ISERROR(AG28/AE28),"-",AG28/AE28)</f>
        <v>2.3898903758273748E-2</v>
      </c>
      <c r="AK28" s="357">
        <f>AD28-AE28</f>
        <v>1978.7369999999646</v>
      </c>
      <c r="AL28" s="354">
        <f>AE28-AH28</f>
        <v>5347.5830963333719</v>
      </c>
      <c r="AM28" s="358">
        <f>AD28-AH28</f>
        <v>7326.3200963333366</v>
      </c>
      <c r="AN28" s="781"/>
      <c r="AO28" s="771"/>
      <c r="AP28" s="271" t="s">
        <v>57</v>
      </c>
      <c r="AQ28" s="272">
        <f>SUM(AQ6:AQ27)</f>
        <v>552166</v>
      </c>
      <c r="AR28" s="272">
        <f>SUM(AR6:AR27)</f>
        <v>564435.076</v>
      </c>
      <c r="AS28" s="272">
        <f>SUM(AS6:AS27)</f>
        <v>8183.6508100000001</v>
      </c>
      <c r="AT28" s="354">
        <f>SUM(AT6:AT27)</f>
        <v>14267.934893000001</v>
      </c>
      <c r="AU28" s="272">
        <f>+AR28+AS28-AT28</f>
        <v>558350.79191699997</v>
      </c>
      <c r="AV28" s="366">
        <f>IF(AR28=0,"-",AU28/AR28)</f>
        <v>0.98922057763291804</v>
      </c>
      <c r="AW28" s="366">
        <f>IF(ISERROR(AT28/AR28),"-",AT28/AR28)</f>
        <v>2.5278256968211524E-2</v>
      </c>
      <c r="AX28" s="357">
        <f>AQ28-AR28</f>
        <v>-12269.076000000001</v>
      </c>
      <c r="AY28" s="354">
        <f>AR28-AU28</f>
        <v>6084.284083000035</v>
      </c>
      <c r="AZ28" s="358">
        <f>AQ28-AU28</f>
        <v>-6184.7919169999659</v>
      </c>
      <c r="BA28" s="781"/>
      <c r="BB28" s="800"/>
      <c r="BC28" s="271" t="s">
        <v>57</v>
      </c>
      <c r="BD28" s="272">
        <f>SUM(BD6:BD27)</f>
        <v>534090</v>
      </c>
      <c r="BE28" s="272">
        <f>SUM(BE6:BE27)</f>
        <v>0</v>
      </c>
      <c r="BF28" s="272">
        <f>SUM(BF6:BF27)</f>
        <v>0</v>
      </c>
      <c r="BG28" s="354">
        <f>SUM(BG6:BG27)</f>
        <v>0</v>
      </c>
      <c r="BH28" s="272">
        <f>+BE28+BF28-BG28</f>
        <v>0</v>
      </c>
      <c r="BI28" s="366" t="str">
        <f>IF(BE28=0,"-",BH28/BE28)</f>
        <v>-</v>
      </c>
      <c r="BJ28" s="366" t="str">
        <f>IF(ISERROR(BG28/BE28),"-",BG28/BE28)</f>
        <v>-</v>
      </c>
      <c r="BK28" s="357">
        <f>BD28-BE28</f>
        <v>534090</v>
      </c>
      <c r="BL28" s="354">
        <f>BE28-BH28</f>
        <v>0</v>
      </c>
      <c r="BM28" s="358">
        <f>BD28-BH28</f>
        <v>534090</v>
      </c>
      <c r="BN28" s="781"/>
      <c r="BO28" s="801"/>
      <c r="BP28" s="271" t="s">
        <v>57</v>
      </c>
      <c r="BQ28" s="272">
        <f>SUM(BQ6:BQ27)</f>
        <v>552166</v>
      </c>
      <c r="BR28" s="272">
        <f>SUM(BR6:BR27)</f>
        <v>0</v>
      </c>
      <c r="BS28" s="272">
        <f>SUM(BS6:BS27)</f>
        <v>0</v>
      </c>
      <c r="BT28" s="354">
        <f>SUM(BT6:BT27)</f>
        <v>0</v>
      </c>
      <c r="BU28" s="272">
        <f>+BR28+BS28-BT28</f>
        <v>0</v>
      </c>
      <c r="BV28" s="366" t="str">
        <f>IF(BR28=0,"-",BU28/BR28)</f>
        <v>-</v>
      </c>
      <c r="BW28" s="366" t="str">
        <f>IF(ISERROR(BT28/BR28),"-",BT28/BR28)</f>
        <v>-</v>
      </c>
      <c r="BX28" s="357">
        <f>BQ28-BR28</f>
        <v>552166</v>
      </c>
      <c r="BY28" s="354">
        <f>BR28-BU28</f>
        <v>0</v>
      </c>
      <c r="BZ28" s="358">
        <f>BQ28-BU28</f>
        <v>552166</v>
      </c>
      <c r="CA28" s="781"/>
      <c r="CB28" s="802"/>
      <c r="CC28" s="271" t="s">
        <v>57</v>
      </c>
      <c r="CD28" s="272">
        <f>SUM(CD6:CD27)</f>
        <v>552166</v>
      </c>
      <c r="CE28" s="272">
        <f>SUM(CE6:CE27)</f>
        <v>0</v>
      </c>
      <c r="CF28" s="272">
        <f>SUM(CF6:CF27)</f>
        <v>0</v>
      </c>
      <c r="CG28" s="354">
        <f>SUM(CG6:CG27)</f>
        <v>0</v>
      </c>
      <c r="CH28" s="272">
        <f>+CE28+CF28-CG28</f>
        <v>0</v>
      </c>
      <c r="CI28" s="366" t="str">
        <f>IF(CE28=0,"-",CH28/CE28)</f>
        <v>-</v>
      </c>
      <c r="CJ28" s="366" t="str">
        <f>IF(ISERROR(CG28/CE28),"-",CG28/CE28)</f>
        <v>-</v>
      </c>
      <c r="CK28" s="357">
        <f>CD28-CE28</f>
        <v>552166</v>
      </c>
      <c r="CL28" s="354">
        <f>CE28-CH28</f>
        <v>0</v>
      </c>
      <c r="CM28" s="358">
        <f>CD28-CH28</f>
        <v>552166</v>
      </c>
      <c r="CN28" s="25"/>
      <c r="CO28" s="803"/>
      <c r="CP28" s="271" t="s">
        <v>57</v>
      </c>
      <c r="CQ28" s="272">
        <f>SUM(CQ6:CQ27)</f>
        <v>523151</v>
      </c>
      <c r="CR28" s="272">
        <f>SUM(CR6:CR27)</f>
        <v>0</v>
      </c>
      <c r="CS28" s="272">
        <f>SUM(CS6:CS27)</f>
        <v>0</v>
      </c>
      <c r="CT28" s="354">
        <f>SUM(CT6:CT27)</f>
        <v>0</v>
      </c>
      <c r="CU28" s="272">
        <f>+CR28+CS28-CT28</f>
        <v>0</v>
      </c>
      <c r="CV28" s="366" t="str">
        <f>IF(CR28=0,"-",CU28/CR28)</f>
        <v>-</v>
      </c>
      <c r="CW28" s="366" t="str">
        <f>IF(ISERROR(CT28/CR28),"-",CT28/CR28)</f>
        <v>-</v>
      </c>
      <c r="CX28" s="357">
        <f>CQ28-CR28</f>
        <v>523151</v>
      </c>
      <c r="CY28" s="354">
        <f>CR28-CU28</f>
        <v>0</v>
      </c>
      <c r="CZ28" s="358">
        <f>CQ28-CU28</f>
        <v>523151</v>
      </c>
      <c r="DA28" s="781"/>
      <c r="DB28" s="804"/>
      <c r="DC28" s="271" t="s">
        <v>57</v>
      </c>
      <c r="DD28" s="272">
        <f>SUM(DD6:DD27)</f>
        <v>561831</v>
      </c>
      <c r="DE28" s="272">
        <f>SUM(DE6:DE27)</f>
        <v>0</v>
      </c>
      <c r="DF28" s="272">
        <f>SUM(DF6:DF27)</f>
        <v>0</v>
      </c>
      <c r="DG28" s="354">
        <f>SUM(DG6:DG27)</f>
        <v>0</v>
      </c>
      <c r="DH28" s="272">
        <f>+DE28+DF28-DG28</f>
        <v>0</v>
      </c>
      <c r="DI28" s="366" t="str">
        <f>IF(DE28=0,"-",DH28/DE28)</f>
        <v>-</v>
      </c>
      <c r="DJ28" s="366" t="str">
        <f>IF(ISERROR(DG28/DE28),"-",DG28/DE28)</f>
        <v>-</v>
      </c>
      <c r="DK28" s="357">
        <f>DD28-DE28</f>
        <v>561831</v>
      </c>
      <c r="DL28" s="354">
        <f>DE28-DH28</f>
        <v>0</v>
      </c>
      <c r="DM28" s="358">
        <f>DD28-DH28</f>
        <v>561831</v>
      </c>
      <c r="DN28" s="781"/>
      <c r="DO28" s="805"/>
      <c r="DP28" s="271" t="s">
        <v>57</v>
      </c>
      <c r="DQ28" s="272">
        <f>SUM(DQ6:DQ27)</f>
        <v>550893</v>
      </c>
      <c r="DR28" s="272">
        <f>SUM(DR6:DR27)</f>
        <v>0</v>
      </c>
      <c r="DS28" s="272">
        <f>SUM(DS6:DS27)</f>
        <v>0</v>
      </c>
      <c r="DT28" s="354">
        <f>SUM(DT6:DT27)</f>
        <v>0</v>
      </c>
      <c r="DU28" s="272">
        <f>+DR28+DS28-DT28</f>
        <v>0</v>
      </c>
      <c r="DV28" s="366" t="str">
        <f>IF(DR28=0,"-",DU28/DR28)</f>
        <v>-</v>
      </c>
      <c r="DW28" s="366" t="str">
        <f>IF(ISERROR(DT28/DR28),"-",DT28/DR28)</f>
        <v>-</v>
      </c>
      <c r="DX28" s="357">
        <f>DQ28-DR28</f>
        <v>550893</v>
      </c>
      <c r="DY28" s="354">
        <f>DR28-DU28</f>
        <v>0</v>
      </c>
      <c r="DZ28" s="358">
        <f>DQ28-DU28</f>
        <v>550893</v>
      </c>
      <c r="EA28" s="781"/>
      <c r="EB28" s="774"/>
      <c r="EC28" s="271" t="s">
        <v>57</v>
      </c>
      <c r="ED28" s="272">
        <f>SUM(ED6:ED27)</f>
        <v>545026</v>
      </c>
      <c r="EE28" s="272">
        <f>SUM(EE6:EE27)</f>
        <v>0</v>
      </c>
      <c r="EF28" s="272">
        <f>SUM(EF6:EF27)</f>
        <v>0</v>
      </c>
      <c r="EG28" s="354">
        <f>SUM(EG6:EG27)</f>
        <v>0</v>
      </c>
      <c r="EH28" s="272">
        <f>+EE28+EF28-EG28</f>
        <v>0</v>
      </c>
      <c r="EI28" s="366" t="str">
        <f>IF(EE28=0,"-",EH28/EE28)</f>
        <v>-</v>
      </c>
      <c r="EJ28" s="366" t="str">
        <f>IF(ISERROR(EG28/EE28),"-",EG28/EE28)</f>
        <v>-</v>
      </c>
      <c r="EK28" s="357">
        <f>ED28-EE28</f>
        <v>545026</v>
      </c>
      <c r="EL28" s="354">
        <f>EE28-EH28</f>
        <v>0</v>
      </c>
      <c r="EM28" s="358">
        <f>ED28-EH28</f>
        <v>545026</v>
      </c>
      <c r="EN28" s="781"/>
      <c r="EO28" s="775"/>
      <c r="EP28" s="271" t="s">
        <v>57</v>
      </c>
      <c r="EQ28" s="272">
        <f>SUM(EQ6:EQ27)</f>
        <v>550893</v>
      </c>
      <c r="ER28" s="272">
        <f>SUM(ER6:ER27)</f>
        <v>0</v>
      </c>
      <c r="ES28" s="272">
        <f>SUM(ES6:ES27)</f>
        <v>0</v>
      </c>
      <c r="ET28" s="354">
        <f>SUM(ET6:ET27)</f>
        <v>0</v>
      </c>
      <c r="EU28" s="272">
        <f>+ER28+ES28-ET28</f>
        <v>0</v>
      </c>
      <c r="EV28" s="366" t="str">
        <f>IF(ER28=0,"-",EU28/ER28)</f>
        <v>-</v>
      </c>
      <c r="EW28" s="366" t="str">
        <f>IF(ISERROR(ET28/ER28),"-",ET28/ER28)</f>
        <v>-</v>
      </c>
      <c r="EX28" s="357">
        <f>EQ28-ER28</f>
        <v>550893</v>
      </c>
      <c r="EY28" s="354">
        <f>ER28-EU28</f>
        <v>0</v>
      </c>
      <c r="EZ28" s="358">
        <f>EQ28-EU28</f>
        <v>550893</v>
      </c>
      <c r="FA28" s="25"/>
      <c r="FB28" s="785"/>
      <c r="FC28" s="25"/>
      <c r="FD28" s="211"/>
      <c r="FE28" s="211"/>
      <c r="FF28" s="25"/>
      <c r="FG28" s="25"/>
      <c r="FH28" s="25"/>
      <c r="FI28" s="25"/>
      <c r="FJ28" s="776"/>
      <c r="FK28" s="776"/>
    </row>
    <row r="29" spans="1:167" s="260" customFormat="1" ht="15" customHeight="1" thickBot="1">
      <c r="A29" s="772"/>
      <c r="B29" s="806"/>
      <c r="C29" s="440"/>
      <c r="D29" s="389"/>
      <c r="E29" s="216"/>
      <c r="F29" s="216"/>
      <c r="G29" s="216"/>
      <c r="H29" s="401"/>
      <c r="I29" s="441"/>
      <c r="J29" s="442"/>
      <c r="K29" s="216"/>
      <c r="L29" s="216"/>
      <c r="M29" s="216"/>
      <c r="N29" s="772"/>
      <c r="O29" s="772"/>
      <c r="P29" s="440"/>
      <c r="Q29" s="216"/>
      <c r="R29" s="216"/>
      <c r="S29" s="216"/>
      <c r="T29" s="385"/>
      <c r="U29" s="116"/>
      <c r="V29" s="443"/>
      <c r="W29" s="442"/>
      <c r="X29" s="216"/>
      <c r="Y29" s="216"/>
      <c r="Z29" s="216"/>
      <c r="AA29" s="116"/>
      <c r="AB29" s="772"/>
      <c r="AC29" s="367"/>
      <c r="AD29" s="216"/>
      <c r="AE29" s="216"/>
      <c r="AF29" s="216"/>
      <c r="AG29" s="116"/>
      <c r="AH29" s="116"/>
      <c r="AI29" s="442"/>
      <c r="AJ29" s="442"/>
      <c r="AK29" s="116"/>
      <c r="AL29" s="116"/>
      <c r="AM29" s="116"/>
      <c r="AN29" s="116"/>
      <c r="AO29" s="116"/>
      <c r="AP29" s="367"/>
      <c r="AQ29" s="116"/>
      <c r="AR29" s="772"/>
      <c r="AS29" s="772"/>
      <c r="AT29" s="772"/>
      <c r="AU29" s="116"/>
      <c r="AV29" s="442"/>
      <c r="AW29" s="442"/>
      <c r="AX29" s="210"/>
      <c r="AY29" s="116"/>
      <c r="AZ29" s="116"/>
      <c r="BA29" s="116"/>
      <c r="BB29" s="807"/>
      <c r="BC29" s="367"/>
      <c r="BD29" s="772"/>
      <c r="BE29" s="772"/>
      <c r="BF29" s="772"/>
      <c r="BG29" s="116"/>
      <c r="BH29" s="116"/>
      <c r="BI29" s="442"/>
      <c r="BJ29" s="442"/>
      <c r="BK29" s="210"/>
      <c r="BL29" s="210"/>
      <c r="BM29" s="210"/>
      <c r="BN29" s="116"/>
      <c r="BO29" s="116"/>
      <c r="BP29" s="367"/>
      <c r="BQ29" s="352"/>
      <c r="BR29" s="353"/>
      <c r="BS29" s="353"/>
      <c r="BT29" s="772"/>
      <c r="BU29" s="116"/>
      <c r="BV29" s="443"/>
      <c r="BW29" s="442"/>
      <c r="BX29" s="116"/>
      <c r="BY29" s="210"/>
      <c r="BZ29" s="210"/>
      <c r="CA29" s="210"/>
      <c r="CB29" s="772"/>
      <c r="CC29" s="367"/>
      <c r="CD29" s="351"/>
      <c r="CE29" s="772"/>
      <c r="CF29" s="353"/>
      <c r="CG29" s="772"/>
      <c r="CH29" s="116"/>
      <c r="CI29" s="443"/>
      <c r="CJ29" s="442"/>
      <c r="CK29" s="772"/>
      <c r="CL29" s="444"/>
      <c r="CM29" s="444"/>
      <c r="CN29" s="116"/>
      <c r="CO29" s="807"/>
      <c r="CP29" s="367"/>
      <c r="CQ29" s="116"/>
      <c r="CR29" s="116"/>
      <c r="CS29" s="353"/>
      <c r="CT29" s="116"/>
      <c r="CU29" s="116"/>
      <c r="CV29" s="443"/>
      <c r="CW29" s="442"/>
      <c r="CX29" s="116"/>
      <c r="CY29" s="772"/>
      <c r="CZ29" s="772"/>
      <c r="DA29" s="116"/>
      <c r="DB29" s="210"/>
      <c r="DC29" s="367"/>
      <c r="DD29" s="116"/>
      <c r="DE29" s="116"/>
      <c r="DF29" s="353"/>
      <c r="DG29" s="116"/>
      <c r="DH29" s="116"/>
      <c r="DI29" s="443"/>
      <c r="DJ29" s="442"/>
      <c r="DK29" s="116"/>
      <c r="DL29" s="116"/>
      <c r="DM29" s="116"/>
      <c r="DN29" s="772"/>
      <c r="DO29" s="807"/>
      <c r="DP29" s="367"/>
      <c r="DQ29" s="772"/>
      <c r="DR29" s="99"/>
      <c r="DS29" s="353"/>
      <c r="DT29" s="116"/>
      <c r="DU29" s="116"/>
      <c r="DV29" s="443"/>
      <c r="DW29" s="442"/>
      <c r="DX29" s="116"/>
      <c r="DY29" s="116"/>
      <c r="DZ29" s="116"/>
      <c r="EA29" s="116"/>
      <c r="EB29" s="772"/>
      <c r="EC29" s="367"/>
      <c r="ED29" s="772"/>
      <c r="EE29" s="210"/>
      <c r="EF29" s="353"/>
      <c r="EG29" s="116"/>
      <c r="EH29" s="116"/>
      <c r="EI29" s="443"/>
      <c r="EJ29" s="442"/>
      <c r="EK29" s="116"/>
      <c r="EL29" s="116"/>
      <c r="EM29" s="116"/>
      <c r="EN29" s="116"/>
      <c r="EO29" s="116"/>
      <c r="EP29" s="237"/>
      <c r="EQ29" s="772"/>
      <c r="ER29" s="116"/>
      <c r="ES29" s="353"/>
      <c r="ET29" s="210"/>
      <c r="EU29" s="116"/>
      <c r="EV29" s="443"/>
      <c r="EW29" s="442"/>
      <c r="EX29" s="772"/>
      <c r="EY29" s="116"/>
      <c r="EZ29" s="116"/>
      <c r="FA29" s="116"/>
      <c r="FB29" s="772"/>
      <c r="FC29" s="116"/>
      <c r="FD29" s="210"/>
      <c r="FE29" s="210"/>
      <c r="FF29" s="116"/>
      <c r="FG29" s="116"/>
      <c r="FH29" s="116"/>
      <c r="FI29" s="116"/>
      <c r="FJ29" s="807"/>
      <c r="FK29" s="807"/>
    </row>
    <row r="30" spans="1:167" s="208" customFormat="1" ht="15" customHeight="1">
      <c r="A30" s="777"/>
      <c r="B30" s="808"/>
      <c r="C30" s="213" t="s">
        <v>58</v>
      </c>
      <c r="D30" s="390"/>
      <c r="E30" s="809"/>
      <c r="F30" s="809"/>
      <c r="G30" s="446"/>
      <c r="H30" s="810"/>
      <c r="I30" s="811"/>
      <c r="J30" s="811"/>
      <c r="K30" s="812"/>
      <c r="L30" s="813"/>
      <c r="M30" s="814"/>
      <c r="N30" s="785"/>
      <c r="O30" s="782"/>
      <c r="P30" s="213" t="s">
        <v>58</v>
      </c>
      <c r="Q30" s="390"/>
      <c r="R30" s="809"/>
      <c r="S30" s="809"/>
      <c r="T30" s="446"/>
      <c r="U30" s="810"/>
      <c r="V30" s="811" t="s">
        <v>59</v>
      </c>
      <c r="W30" s="811"/>
      <c r="X30" s="812"/>
      <c r="Y30" s="813"/>
      <c r="Z30" s="814"/>
      <c r="AA30" s="25"/>
      <c r="AB30" s="815"/>
      <c r="AC30" s="213" t="s">
        <v>58</v>
      </c>
      <c r="AD30" s="390"/>
      <c r="AE30" s="809"/>
      <c r="AF30" s="809"/>
      <c r="AG30" s="446"/>
      <c r="AH30" s="810"/>
      <c r="AI30" s="811" t="s">
        <v>59</v>
      </c>
      <c r="AJ30" s="811"/>
      <c r="AK30" s="812"/>
      <c r="AL30" s="813"/>
      <c r="AM30" s="814"/>
      <c r="AN30" s="25"/>
      <c r="AO30" s="220"/>
      <c r="AP30" s="213" t="s">
        <v>58</v>
      </c>
      <c r="AQ30" s="390"/>
      <c r="AR30" s="809"/>
      <c r="AS30" s="809"/>
      <c r="AT30" s="446"/>
      <c r="AU30" s="810"/>
      <c r="AV30" s="811"/>
      <c r="AW30" s="811"/>
      <c r="AX30" s="812"/>
      <c r="AY30" s="813"/>
      <c r="AZ30" s="814"/>
      <c r="BA30" s="25"/>
      <c r="BB30" s="816"/>
      <c r="BC30" s="213" t="s">
        <v>58</v>
      </c>
      <c r="BD30" s="390"/>
      <c r="BE30" s="809"/>
      <c r="BF30" s="809"/>
      <c r="BG30" s="446"/>
      <c r="BH30" s="810"/>
      <c r="BI30" s="811"/>
      <c r="BJ30" s="811"/>
      <c r="BK30" s="812"/>
      <c r="BL30" s="813"/>
      <c r="BM30" s="814"/>
      <c r="BN30" s="25"/>
      <c r="BO30" s="817"/>
      <c r="BP30" s="213" t="s">
        <v>58</v>
      </c>
      <c r="BQ30" s="390"/>
      <c r="BR30" s="809"/>
      <c r="BS30" s="809"/>
      <c r="BT30" s="446"/>
      <c r="BU30" s="810"/>
      <c r="BV30" s="811"/>
      <c r="BW30" s="811"/>
      <c r="BX30" s="812"/>
      <c r="BY30" s="813"/>
      <c r="BZ30" s="814"/>
      <c r="CA30" s="25"/>
      <c r="CB30" s="788"/>
      <c r="CC30" s="213" t="s">
        <v>58</v>
      </c>
      <c r="CD30" s="390"/>
      <c r="CE30" s="809"/>
      <c r="CF30" s="809"/>
      <c r="CG30" s="446"/>
      <c r="CH30" s="810"/>
      <c r="CI30" s="811"/>
      <c r="CJ30" s="811"/>
      <c r="CK30" s="812"/>
      <c r="CL30" s="813"/>
      <c r="CM30" s="814"/>
      <c r="CN30" s="25"/>
      <c r="CO30" s="222"/>
      <c r="CP30" s="213" t="s">
        <v>58</v>
      </c>
      <c r="CQ30" s="390"/>
      <c r="CR30" s="809"/>
      <c r="CS30" s="809"/>
      <c r="CT30" s="446"/>
      <c r="CU30" s="810"/>
      <c r="CV30" s="811"/>
      <c r="CW30" s="811"/>
      <c r="CX30" s="812"/>
      <c r="CY30" s="813"/>
      <c r="CZ30" s="814"/>
      <c r="DA30" s="211"/>
      <c r="DB30" s="378"/>
      <c r="DC30" s="213" t="s">
        <v>58</v>
      </c>
      <c r="DD30" s="390"/>
      <c r="DE30" s="809"/>
      <c r="DF30" s="809"/>
      <c r="DG30" s="446"/>
      <c r="DH30" s="810"/>
      <c r="DI30" s="811"/>
      <c r="DJ30" s="811"/>
      <c r="DK30" s="812"/>
      <c r="DL30" s="813"/>
      <c r="DM30" s="814"/>
      <c r="DN30" s="211"/>
      <c r="DO30" s="223"/>
      <c r="DP30" s="213" t="s">
        <v>58</v>
      </c>
      <c r="DQ30" s="390"/>
      <c r="DR30" s="809"/>
      <c r="DS30" s="809"/>
      <c r="DT30" s="446"/>
      <c r="DU30" s="810"/>
      <c r="DV30" s="811"/>
      <c r="DW30" s="811"/>
      <c r="DX30" s="812"/>
      <c r="DY30" s="813"/>
      <c r="DZ30" s="814"/>
      <c r="EA30" s="25"/>
      <c r="EB30" s="224"/>
      <c r="EC30" s="213" t="s">
        <v>58</v>
      </c>
      <c r="ED30" s="390"/>
      <c r="EE30" s="809"/>
      <c r="EF30" s="809"/>
      <c r="EG30" s="446"/>
      <c r="EH30" s="810"/>
      <c r="EI30" s="811"/>
      <c r="EJ30" s="811"/>
      <c r="EK30" s="812"/>
      <c r="EL30" s="813"/>
      <c r="EM30" s="814"/>
      <c r="EN30" s="785"/>
      <c r="EO30" s="225"/>
      <c r="EP30" s="213" t="s">
        <v>58</v>
      </c>
      <c r="EQ30" s="390"/>
      <c r="ER30" s="809"/>
      <c r="ES30" s="809"/>
      <c r="ET30" s="446"/>
      <c r="EU30" s="810"/>
      <c r="EV30" s="811"/>
      <c r="EW30" s="811"/>
      <c r="EX30" s="812"/>
      <c r="EY30" s="813"/>
      <c r="EZ30" s="814"/>
      <c r="FA30" s="25"/>
      <c r="FB30" s="785"/>
      <c r="FC30" s="25"/>
      <c r="FD30" s="211"/>
      <c r="FE30" s="211"/>
      <c r="FF30" s="25"/>
      <c r="FG30" s="25"/>
      <c r="FH30" s="25"/>
      <c r="FI30" s="25"/>
      <c r="FJ30" s="776"/>
      <c r="FK30" s="776"/>
    </row>
    <row r="31" spans="1:167" s="208" customFormat="1" ht="15" customHeight="1">
      <c r="A31" s="777"/>
      <c r="B31" s="778"/>
      <c r="C31" s="445" t="s">
        <v>60</v>
      </c>
      <c r="D31" s="386">
        <f>BudgetedData!B13</f>
        <v>9951.7900000000009</v>
      </c>
      <c r="E31" s="447">
        <f>Data!C14</f>
        <v>9746.2000000000007</v>
      </c>
      <c r="F31" s="447">
        <f>Data!D14</f>
        <v>0</v>
      </c>
      <c r="G31" s="447">
        <f>Data!E14</f>
        <v>62.4</v>
      </c>
      <c r="H31" s="447">
        <f>+E31+F31-G31</f>
        <v>9683.8000000000011</v>
      </c>
      <c r="I31" s="818">
        <f>IF(E31=0,"-",H31/E31)</f>
        <v>0.99359750466848618</v>
      </c>
      <c r="J31" s="818">
        <f>IF(ISERROR(G31/E31),"-",G31/E31)</f>
        <v>6.4024953315138201E-3</v>
      </c>
      <c r="K31" s="781">
        <f>D31-E31</f>
        <v>205.59000000000015</v>
      </c>
      <c r="L31" s="785">
        <f>E31-H31</f>
        <v>62.399999999999636</v>
      </c>
      <c r="M31" s="777">
        <f>D31-H31</f>
        <v>267.98999999999978</v>
      </c>
      <c r="N31" s="785"/>
      <c r="O31" s="793"/>
      <c r="P31" s="445" t="s">
        <v>60</v>
      </c>
      <c r="Q31" s="386">
        <f>BudgetedData!C13</f>
        <v>10004.290000000001</v>
      </c>
      <c r="R31" s="447">
        <f>Data!C34</f>
        <v>9746.2000000000007</v>
      </c>
      <c r="S31" s="447">
        <f>Data!D34</f>
        <v>0</v>
      </c>
      <c r="T31" s="447">
        <f>Data!E34</f>
        <v>62.4</v>
      </c>
      <c r="U31" s="447">
        <f>+R31+S31-T31</f>
        <v>9683.8000000000011</v>
      </c>
      <c r="V31" s="818">
        <f>IF(R31=0,"-",U31/R31)</f>
        <v>0.99359750466848618</v>
      </c>
      <c r="W31" s="818">
        <f>IF(ISERROR(T31/R31),"-",T31/R31)</f>
        <v>6.4024953315138201E-3</v>
      </c>
      <c r="X31" s="781">
        <f>Q31-R31</f>
        <v>258.09000000000015</v>
      </c>
      <c r="Y31" s="785">
        <f>R31-U31</f>
        <v>62.399999999999636</v>
      </c>
      <c r="Z31" s="777">
        <f>Q31-U31</f>
        <v>320.48999999999978</v>
      </c>
      <c r="AA31" s="25"/>
      <c r="AB31" s="783"/>
      <c r="AC31" s="445" t="s">
        <v>60</v>
      </c>
      <c r="AD31" s="386">
        <f>BudgetedData!D13</f>
        <v>9357.35</v>
      </c>
      <c r="AE31" s="447">
        <f>Data!C54</f>
        <v>9164</v>
      </c>
      <c r="AF31" s="447">
        <f>Data!D54</f>
        <v>0</v>
      </c>
      <c r="AG31" s="447">
        <f>Data!E54</f>
        <v>10.4</v>
      </c>
      <c r="AH31" s="447">
        <f>+AE31+AF31-AG31</f>
        <v>9153.6</v>
      </c>
      <c r="AI31" s="818">
        <f>IF(AE31=0,"-",AH31/AE31)</f>
        <v>0.99886512439982544</v>
      </c>
      <c r="AJ31" s="818">
        <f>IF(ISERROR(AG31/AE31),"-",AG31/AE31)</f>
        <v>1.1348756001745963E-3</v>
      </c>
      <c r="AK31" s="781">
        <f>AD31-AE31</f>
        <v>193.35000000000036</v>
      </c>
      <c r="AL31" s="785">
        <f>AE31-AH31</f>
        <v>10.399999999999636</v>
      </c>
      <c r="AM31" s="777">
        <f>AD31-AH31</f>
        <v>203.75</v>
      </c>
      <c r="AN31" s="25"/>
      <c r="AO31" s="226"/>
      <c r="AP31" s="445" t="s">
        <v>60</v>
      </c>
      <c r="AQ31" s="386">
        <f>BudgetedData!E13</f>
        <v>9734.65</v>
      </c>
      <c r="AR31" s="447">
        <f>Data!C74</f>
        <v>9958.9</v>
      </c>
      <c r="AS31" s="447">
        <f>Data!D74</f>
        <v>0</v>
      </c>
      <c r="AT31" s="447">
        <f>Data!E74</f>
        <v>14.3</v>
      </c>
      <c r="AU31" s="447">
        <f>+AR31+AS31-AT31</f>
        <v>9944.6</v>
      </c>
      <c r="AV31" s="818">
        <f>IF(AR31=0,"-",AU31/AR31)</f>
        <v>0.99856409844460736</v>
      </c>
      <c r="AW31" s="818">
        <f>IF(ISERROR(AT31/AR31),"-",AT31/AR31)</f>
        <v>1.435901555392664E-3</v>
      </c>
      <c r="AX31" s="781">
        <f>AQ31-AR31</f>
        <v>-224.25</v>
      </c>
      <c r="AY31" s="785">
        <f>AR31-AU31</f>
        <v>14.299999999999272</v>
      </c>
      <c r="AZ31" s="777">
        <f>AQ31-AU31</f>
        <v>-209.95000000000073</v>
      </c>
      <c r="BA31" s="772"/>
      <c r="BB31" s="786"/>
      <c r="BC31" s="445" t="s">
        <v>60</v>
      </c>
      <c r="BD31" s="386">
        <f>BudgetedData!F13</f>
        <v>9409.85</v>
      </c>
      <c r="BE31" s="447">
        <f>Data!C94</f>
        <v>0</v>
      </c>
      <c r="BF31" s="447">
        <f>Data!D94</f>
        <v>0</v>
      </c>
      <c r="BG31" s="447">
        <f>Data!E94</f>
        <v>0</v>
      </c>
      <c r="BH31" s="447">
        <f>+BE31+BF31-BG31</f>
        <v>0</v>
      </c>
      <c r="BI31" s="818" t="str">
        <f>IF(BE31=0,"-",BH31/BE31)</f>
        <v>-</v>
      </c>
      <c r="BJ31" s="818" t="str">
        <f>IF(ISERROR(BG31/BE31),"-",BG31/BE31)</f>
        <v>-</v>
      </c>
      <c r="BK31" s="781">
        <f>BD31-BE31</f>
        <v>9409.85</v>
      </c>
      <c r="BL31" s="785">
        <f>BE31-BH31</f>
        <v>0</v>
      </c>
      <c r="BM31" s="777">
        <f>BD31-BH31</f>
        <v>9409.85</v>
      </c>
      <c r="BN31" s="25"/>
      <c r="BO31" s="787"/>
      <c r="BP31" s="445" t="s">
        <v>60</v>
      </c>
      <c r="BQ31" s="386">
        <f>BudgetedData!G13</f>
        <v>9734.65</v>
      </c>
      <c r="BR31" s="447">
        <f>Data!C114</f>
        <v>0</v>
      </c>
      <c r="BS31" s="447">
        <f>Data!D114</f>
        <v>0</v>
      </c>
      <c r="BT31" s="447">
        <f>Data!E114</f>
        <v>0</v>
      </c>
      <c r="BU31" s="447">
        <f>+BR31+BS31-BT31</f>
        <v>0</v>
      </c>
      <c r="BV31" s="818" t="str">
        <f>IF(BR31=0,"-",BU31/BR31)</f>
        <v>-</v>
      </c>
      <c r="BW31" s="818" t="str">
        <f>IF(ISERROR(BT31/BR31),"-",BT31/BR31)</f>
        <v>-</v>
      </c>
      <c r="BX31" s="781">
        <f>BQ31-BR31</f>
        <v>9734.65</v>
      </c>
      <c r="BY31" s="785">
        <f>BR31-BU31</f>
        <v>0</v>
      </c>
      <c r="BZ31" s="777">
        <f>BQ31-BU31</f>
        <v>9734.65</v>
      </c>
      <c r="CA31" s="25"/>
      <c r="CB31" s="794"/>
      <c r="CC31" s="445" t="s">
        <v>60</v>
      </c>
      <c r="CD31" s="386">
        <f>BudgetedData!H13</f>
        <v>9734.65</v>
      </c>
      <c r="CE31" s="447">
        <f>Data!C134</f>
        <v>0</v>
      </c>
      <c r="CF31" s="447">
        <f>Data!D134</f>
        <v>0</v>
      </c>
      <c r="CG31" s="447">
        <f>Data!E134</f>
        <v>0</v>
      </c>
      <c r="CH31" s="447">
        <f>+CE31+CF31-CG31</f>
        <v>0</v>
      </c>
      <c r="CI31" s="818" t="str">
        <f>IF(CE31=0,"-",CH31/CE31)</f>
        <v>-</v>
      </c>
      <c r="CJ31" s="818" t="str">
        <f>IF(ISERROR(CG31/CE31),"-",CG31/CE31)</f>
        <v>-</v>
      </c>
      <c r="CK31" s="781">
        <f>CD31-CE31</f>
        <v>9734.65</v>
      </c>
      <c r="CL31" s="785">
        <f>CE31-CH31</f>
        <v>0</v>
      </c>
      <c r="CM31" s="777">
        <f>CD31-CH31</f>
        <v>9734.65</v>
      </c>
      <c r="CN31" s="25"/>
      <c r="CO31" s="227"/>
      <c r="CP31" s="445" t="s">
        <v>60</v>
      </c>
      <c r="CQ31" s="386">
        <f>BudgetedData!I13</f>
        <v>9249.7000000000007</v>
      </c>
      <c r="CR31" s="447">
        <f>Data!C154</f>
        <v>0</v>
      </c>
      <c r="CS31" s="447">
        <f>Data!D154</f>
        <v>0</v>
      </c>
      <c r="CT31" s="447">
        <f>Data!E154</f>
        <v>0</v>
      </c>
      <c r="CU31" s="447">
        <f>+CR31+CS31-CT31</f>
        <v>0</v>
      </c>
      <c r="CV31" s="818" t="str">
        <f>IF(CR31=0,"-",CU31/CR31)</f>
        <v>-</v>
      </c>
      <c r="CW31" s="818" t="str">
        <f>IF(ISERROR(CT31/CR31),"-",CT31/CR31)</f>
        <v>-</v>
      </c>
      <c r="CX31" s="781">
        <f>CQ31-CR31</f>
        <v>9249.7000000000007</v>
      </c>
      <c r="CY31" s="785">
        <f>CR31-CU31</f>
        <v>0</v>
      </c>
      <c r="CZ31" s="777">
        <f>CQ31-CU31</f>
        <v>9249.7000000000007</v>
      </c>
      <c r="DA31" s="211"/>
      <c r="DB31" s="379"/>
      <c r="DC31" s="445" t="s">
        <v>60</v>
      </c>
      <c r="DD31" s="386">
        <f>BudgetedData!J13</f>
        <v>9951.7900000000009</v>
      </c>
      <c r="DE31" s="447">
        <f>Data!C174</f>
        <v>0</v>
      </c>
      <c r="DF31" s="447">
        <f>Data!D174</f>
        <v>0</v>
      </c>
      <c r="DG31" s="447">
        <f>Data!E174</f>
        <v>0</v>
      </c>
      <c r="DH31" s="447">
        <f>+DE31+DF31-DG31</f>
        <v>0</v>
      </c>
      <c r="DI31" s="818" t="str">
        <f>IF(DE31=0,"-",DH31/DE31)</f>
        <v>-</v>
      </c>
      <c r="DJ31" s="818" t="str">
        <f>IF(ISERROR(DG31/DE31),"-",DG31/DE31)</f>
        <v>-</v>
      </c>
      <c r="DK31" s="781">
        <f>DD31-DE31</f>
        <v>9951.7900000000009</v>
      </c>
      <c r="DL31" s="785">
        <f>DE31-DH31</f>
        <v>0</v>
      </c>
      <c r="DM31" s="777">
        <f>DD31-DH31</f>
        <v>9951.7900000000009</v>
      </c>
      <c r="DN31" s="211"/>
      <c r="DO31" s="228"/>
      <c r="DP31" s="445" t="s">
        <v>60</v>
      </c>
      <c r="DQ31" s="386">
        <f>BudgetedData!K13</f>
        <v>9791.64</v>
      </c>
      <c r="DR31" s="447">
        <f>Data!C194</f>
        <v>0</v>
      </c>
      <c r="DS31" s="447">
        <f>Data!D194</f>
        <v>0</v>
      </c>
      <c r="DT31" s="447">
        <f>Data!E194</f>
        <v>0</v>
      </c>
      <c r="DU31" s="447">
        <f>+DR31+DS31-DT31</f>
        <v>0</v>
      </c>
      <c r="DV31" s="818" t="str">
        <f>IF(DR31=0,"-",DU31/DR31)</f>
        <v>-</v>
      </c>
      <c r="DW31" s="818" t="str">
        <f>IF(ISERROR(DT31/DR31),"-",DT31/DR31)</f>
        <v>-</v>
      </c>
      <c r="DX31" s="781">
        <f>DQ31-DR31</f>
        <v>9791.64</v>
      </c>
      <c r="DY31" s="785">
        <f>DR31-DU31</f>
        <v>0</v>
      </c>
      <c r="DZ31" s="777">
        <f>DQ31-DU31</f>
        <v>9791.64</v>
      </c>
      <c r="EA31" s="25"/>
      <c r="EB31" s="229"/>
      <c r="EC31" s="445" t="s">
        <v>60</v>
      </c>
      <c r="ED31" s="386">
        <f>BudgetedData!L13</f>
        <v>9570</v>
      </c>
      <c r="EE31" s="447">
        <f>Data!C214</f>
        <v>0</v>
      </c>
      <c r="EF31" s="447">
        <f>Data!D214</f>
        <v>0</v>
      </c>
      <c r="EG31" s="447">
        <f>Data!E214</f>
        <v>0</v>
      </c>
      <c r="EH31" s="447">
        <f>+EE31+EF31-EG31</f>
        <v>0</v>
      </c>
      <c r="EI31" s="818" t="str">
        <f>IF(EE31=0,"-",EH31/EE31)</f>
        <v>-</v>
      </c>
      <c r="EJ31" s="818" t="str">
        <f>IF(ISERROR(EG31/EE31),"-",EG31/EE31)</f>
        <v>-</v>
      </c>
      <c r="EK31" s="781">
        <f>ED31-EE31</f>
        <v>9570</v>
      </c>
      <c r="EL31" s="785">
        <f>EE31-EH31</f>
        <v>0</v>
      </c>
      <c r="EM31" s="777">
        <f>ED31-EH31</f>
        <v>9570</v>
      </c>
      <c r="EN31" s="785"/>
      <c r="EO31" s="230"/>
      <c r="EP31" s="445" t="s">
        <v>60</v>
      </c>
      <c r="EQ31" s="386">
        <f>BudgetedData!M13</f>
        <v>9791.64</v>
      </c>
      <c r="ER31" s="447">
        <f>Data!C234</f>
        <v>0</v>
      </c>
      <c r="ES31" s="447">
        <f>Data!D234</f>
        <v>0</v>
      </c>
      <c r="ET31" s="447">
        <f>Data!E234</f>
        <v>0</v>
      </c>
      <c r="EU31" s="447">
        <f>+ER31+ES31-ET31</f>
        <v>0</v>
      </c>
      <c r="EV31" s="818" t="str">
        <f>IF(ER31=0,"-",EU31/ER31)</f>
        <v>-</v>
      </c>
      <c r="EW31" s="818" t="str">
        <f>IF(ISERROR(ET31/ER31),"-",ET31/ER31)</f>
        <v>-</v>
      </c>
      <c r="EX31" s="781">
        <f>EQ31-ER31</f>
        <v>9791.64</v>
      </c>
      <c r="EY31" s="785">
        <f>ER31-EU31</f>
        <v>0</v>
      </c>
      <c r="EZ31" s="777">
        <f>EQ31-EU31</f>
        <v>9791.64</v>
      </c>
      <c r="FA31" s="25"/>
      <c r="FB31" s="785"/>
      <c r="FC31" s="25"/>
      <c r="FD31" s="211"/>
      <c r="FE31" s="211"/>
      <c r="FF31" s="25"/>
      <c r="FG31" s="25"/>
      <c r="FH31" s="25"/>
      <c r="FI31" s="25"/>
      <c r="FJ31" s="776"/>
      <c r="FK31" s="776"/>
    </row>
    <row r="32" spans="1:167" s="208" customFormat="1" ht="15" customHeight="1">
      <c r="A32" s="780"/>
      <c r="B32" s="778"/>
      <c r="C32" s="445" t="s">
        <v>61</v>
      </c>
      <c r="D32" s="386">
        <f>BudgetedData!B14</f>
        <v>18044.72</v>
      </c>
      <c r="E32" s="447">
        <f>Data!C15</f>
        <v>17601.8</v>
      </c>
      <c r="F32" s="447">
        <f>Data!D15</f>
        <v>0</v>
      </c>
      <c r="G32" s="447">
        <f>Data!E15</f>
        <v>86.6</v>
      </c>
      <c r="H32" s="447">
        <f t="shared" ref="H32:H36" si="115">+E32+F32-G32</f>
        <v>17515.2</v>
      </c>
      <c r="I32" s="818">
        <f t="shared" ref="I32:I36" si="116">IF(E32=0,"-",H32/E32)</f>
        <v>0.9950800486313901</v>
      </c>
      <c r="J32" s="818">
        <f t="shared" ref="J32:J36" si="117">IF(ISERROR(G32/E32),"-",G32/E32)</f>
        <v>4.9199513686100284E-3</v>
      </c>
      <c r="K32" s="781">
        <f t="shared" ref="K32:K36" si="118">D32-E32</f>
        <v>442.92000000000189</v>
      </c>
      <c r="L32" s="785">
        <f t="shared" ref="L32:L36" si="119">E32-H32</f>
        <v>86.599999999998545</v>
      </c>
      <c r="M32" s="777">
        <f t="shared" ref="M32:M36" si="120">D32-H32</f>
        <v>529.52000000000044</v>
      </c>
      <c r="N32" s="785"/>
      <c r="O32" s="793"/>
      <c r="P32" s="445" t="s">
        <v>61</v>
      </c>
      <c r="Q32" s="386">
        <f>BudgetedData!C14</f>
        <v>18107.849999999999</v>
      </c>
      <c r="R32" s="447">
        <f>Data!C35</f>
        <v>17663.3</v>
      </c>
      <c r="S32" s="447">
        <f>Data!D35</f>
        <v>0</v>
      </c>
      <c r="T32" s="447">
        <f>Data!E35</f>
        <v>59.3</v>
      </c>
      <c r="U32" s="447">
        <f t="shared" ref="U32:U36" si="121">+R32+S32-T32</f>
        <v>17604</v>
      </c>
      <c r="V32" s="818">
        <f t="shared" ref="V32:V36" si="122">IF(R32=0,"-",U32/R32)</f>
        <v>0.99664275644981404</v>
      </c>
      <c r="W32" s="818">
        <f t="shared" ref="W32:W36" si="123">IF(ISERROR(T32/R32),"-",T32/R32)</f>
        <v>3.357243550185979E-3</v>
      </c>
      <c r="X32" s="781">
        <f t="shared" ref="X32:X36" si="124">Q32-R32</f>
        <v>444.54999999999927</v>
      </c>
      <c r="Y32" s="785">
        <f t="shared" ref="Y32:Y36" si="125">R32-U32</f>
        <v>59.299999999999272</v>
      </c>
      <c r="Z32" s="777">
        <f t="shared" ref="Z32:Z36" si="126">Q32-U32</f>
        <v>503.84999999999854</v>
      </c>
      <c r="AA32" s="25"/>
      <c r="AB32" s="783"/>
      <c r="AC32" s="445" t="s">
        <v>61</v>
      </c>
      <c r="AD32" s="386">
        <f>BudgetedData!D14</f>
        <v>17021.68</v>
      </c>
      <c r="AE32" s="447">
        <f>Data!C55</f>
        <v>16604</v>
      </c>
      <c r="AF32" s="447">
        <f>Data!D55</f>
        <v>0</v>
      </c>
      <c r="AG32" s="447">
        <f>Data!E55</f>
        <v>79.8</v>
      </c>
      <c r="AH32" s="447">
        <f t="shared" ref="AH32:AH36" si="127">+AE32+AF32-AG32</f>
        <v>16524.2</v>
      </c>
      <c r="AI32" s="818">
        <f t="shared" ref="AI32:AI36" si="128">IF(AE32=0,"-",AH32/AE32)</f>
        <v>0.99519392917369309</v>
      </c>
      <c r="AJ32" s="818">
        <f t="shared" ref="AJ32:AJ36" si="129">IF(ISERROR(AG32/AE32),"-",AG32/AE32)</f>
        <v>4.8060708263069135E-3</v>
      </c>
      <c r="AK32" s="781">
        <f t="shared" ref="AK32:AK38" si="130">AD32-AE32</f>
        <v>417.68000000000029</v>
      </c>
      <c r="AL32" s="785">
        <f t="shared" ref="AL32:AL38" si="131">AE32-AH32</f>
        <v>79.799999999999272</v>
      </c>
      <c r="AM32" s="777">
        <f t="shared" ref="AM32:AM38" si="132">AD32-AH32</f>
        <v>497.47999999999956</v>
      </c>
      <c r="AN32" s="25"/>
      <c r="AO32" s="226"/>
      <c r="AP32" s="445" t="s">
        <v>61</v>
      </c>
      <c r="AQ32" s="386">
        <f>BudgetedData!E14</f>
        <v>17696.669999999998</v>
      </c>
      <c r="AR32" s="447">
        <f>Data!C75</f>
        <v>17941.2</v>
      </c>
      <c r="AS32" s="447">
        <f>Data!D75</f>
        <v>0</v>
      </c>
      <c r="AT32" s="447">
        <f>Data!E75</f>
        <v>96.9</v>
      </c>
      <c r="AU32" s="447">
        <f t="shared" ref="AU32:AU36" si="133">+AR32+AS32-AT32</f>
        <v>17844.3</v>
      </c>
      <c r="AV32" s="818">
        <f t="shared" ref="AV32:AV38" si="134">IF(AR32=0,"-",AU32/AR32)</f>
        <v>0.99459902347669049</v>
      </c>
      <c r="AW32" s="818">
        <f t="shared" ref="AW32:AW36" si="135">IF(ISERROR(AT32/AR32),"-",AT32/AR32)</f>
        <v>5.4009765233094774E-3</v>
      </c>
      <c r="AX32" s="781">
        <f t="shared" ref="AX32:AX38" si="136">AQ32-AR32</f>
        <v>-244.53000000000247</v>
      </c>
      <c r="AY32" s="785">
        <f t="shared" ref="AY32:AY38" si="137">AR32-AU32</f>
        <v>96.900000000001455</v>
      </c>
      <c r="AZ32" s="777">
        <f t="shared" ref="AZ32:AZ38" si="138">AQ32-AU32</f>
        <v>-147.63000000000102</v>
      </c>
      <c r="BA32" s="772"/>
      <c r="BB32" s="786"/>
      <c r="BC32" s="445" t="s">
        <v>61</v>
      </c>
      <c r="BD32" s="386">
        <f>BudgetedData!F14</f>
        <v>17084.810000000001</v>
      </c>
      <c r="BE32" s="447">
        <f>Data!C95</f>
        <v>0</v>
      </c>
      <c r="BF32" s="447">
        <f>Data!D95</f>
        <v>0</v>
      </c>
      <c r="BG32" s="447">
        <f>Data!E95</f>
        <v>0</v>
      </c>
      <c r="BH32" s="447">
        <f t="shared" ref="BH32:BH36" si="139">+BE32+BF32-BG32</f>
        <v>0</v>
      </c>
      <c r="BI32" s="818" t="str">
        <f t="shared" ref="BI32:BI36" si="140">IF(BE32=0,"-",BH32/BE32)</f>
        <v>-</v>
      </c>
      <c r="BJ32" s="818" t="str">
        <f t="shared" ref="BJ32:BJ36" si="141">IF(ISERROR(BG32/BE32),"-",BG32/BE32)</f>
        <v>-</v>
      </c>
      <c r="BK32" s="781">
        <f t="shared" ref="BK32:BK36" si="142">BD32-BE32</f>
        <v>17084.810000000001</v>
      </c>
      <c r="BL32" s="785">
        <f t="shared" ref="BL32:BL36" si="143">BE32-BH32</f>
        <v>0</v>
      </c>
      <c r="BM32" s="777">
        <f t="shared" ref="BM32:BM36" si="144">BD32-BH32</f>
        <v>17084.810000000001</v>
      </c>
      <c r="BN32" s="25"/>
      <c r="BO32" s="787"/>
      <c r="BP32" s="445" t="s">
        <v>61</v>
      </c>
      <c r="BQ32" s="386">
        <f>BudgetedData!G14</f>
        <v>17696.669999999998</v>
      </c>
      <c r="BR32" s="447">
        <f>Data!C115</f>
        <v>0</v>
      </c>
      <c r="BS32" s="447">
        <f>Data!D115</f>
        <v>0</v>
      </c>
      <c r="BT32" s="447">
        <f>Data!E115</f>
        <v>0</v>
      </c>
      <c r="BU32" s="447">
        <f>+BR32+BS32-BT32</f>
        <v>0</v>
      </c>
      <c r="BV32" s="818" t="str">
        <f t="shared" ref="BV32:BV36" si="145">IF(BR32=0,"-",BU32/BR32)</f>
        <v>-</v>
      </c>
      <c r="BW32" s="818" t="str">
        <f t="shared" ref="BW32:BW36" si="146">IF(ISERROR(BT32/BR32),"-",BT32/BR32)</f>
        <v>-</v>
      </c>
      <c r="BX32" s="781">
        <f t="shared" ref="BX32:BX36" si="147">BQ32-BR32</f>
        <v>17696.669999999998</v>
      </c>
      <c r="BY32" s="785">
        <f t="shared" ref="BY32:BY36" si="148">BR32-BU32</f>
        <v>0</v>
      </c>
      <c r="BZ32" s="777">
        <f t="shared" ref="BZ32:BZ36" si="149">BQ32-BU32</f>
        <v>17696.669999999998</v>
      </c>
      <c r="CA32" s="25"/>
      <c r="CB32" s="794"/>
      <c r="CC32" s="445" t="s">
        <v>61</v>
      </c>
      <c r="CD32" s="386">
        <f>BudgetedData!H14</f>
        <v>17696.669999999998</v>
      </c>
      <c r="CE32" s="447">
        <f>Data!C135</f>
        <v>0</v>
      </c>
      <c r="CF32" s="447">
        <f>Data!D135</f>
        <v>0</v>
      </c>
      <c r="CG32" s="447">
        <f>Data!E135</f>
        <v>0</v>
      </c>
      <c r="CH32" s="447">
        <f t="shared" ref="CH32:CH36" si="150">+CE32+CF32-CG32</f>
        <v>0</v>
      </c>
      <c r="CI32" s="818" t="str">
        <f t="shared" ref="CI32:CI36" si="151">IF(CE32=0,"-",CH32/CE32)</f>
        <v>-</v>
      </c>
      <c r="CJ32" s="818" t="str">
        <f t="shared" ref="CJ32:CJ36" si="152">IF(ISERROR(CG32/CE32),"-",CG32/CE32)</f>
        <v>-</v>
      </c>
      <c r="CK32" s="781">
        <f t="shared" ref="CK32:CK36" si="153">CD32-CE32</f>
        <v>17696.669999999998</v>
      </c>
      <c r="CL32" s="785">
        <f t="shared" ref="CL32:CL36" si="154">CE32-CH32</f>
        <v>0</v>
      </c>
      <c r="CM32" s="777">
        <f t="shared" ref="CM32:CM36" si="155">CD32-CH32</f>
        <v>17696.669999999998</v>
      </c>
      <c r="CN32" s="25"/>
      <c r="CO32" s="227"/>
      <c r="CP32" s="445" t="s">
        <v>61</v>
      </c>
      <c r="CQ32" s="386">
        <f>BudgetedData!I14</f>
        <v>16757.88</v>
      </c>
      <c r="CR32" s="447">
        <f>Data!C155</f>
        <v>0</v>
      </c>
      <c r="CS32" s="447">
        <f>Data!D155</f>
        <v>0</v>
      </c>
      <c r="CT32" s="447">
        <f>Data!E155</f>
        <v>0</v>
      </c>
      <c r="CU32" s="447">
        <f t="shared" ref="CU32:CU36" si="156">+CR32+CS32-CT32</f>
        <v>0</v>
      </c>
      <c r="CV32" s="818" t="str">
        <f t="shared" ref="CV32:CV36" si="157">IF(CR32=0,"-",CU32/CR32)</f>
        <v>-</v>
      </c>
      <c r="CW32" s="818" t="str">
        <f t="shared" ref="CW32:CW36" si="158">IF(ISERROR(CT32/CR32),"-",CT32/CR32)</f>
        <v>-</v>
      </c>
      <c r="CX32" s="781">
        <f t="shared" ref="CX32:CX36" si="159">CQ32-CR32</f>
        <v>16757.88</v>
      </c>
      <c r="CY32" s="785">
        <f t="shared" ref="CY32:CY36" si="160">CR32-CU32</f>
        <v>0</v>
      </c>
      <c r="CZ32" s="777">
        <f t="shared" ref="CZ32:CZ36" si="161">CQ32-CU32</f>
        <v>16757.88</v>
      </c>
      <c r="DA32" s="211"/>
      <c r="DB32" s="379"/>
      <c r="DC32" s="445" t="s">
        <v>61</v>
      </c>
      <c r="DD32" s="386">
        <f>BudgetedData!J14</f>
        <v>18044.72</v>
      </c>
      <c r="DE32" s="447">
        <f>Data!C175</f>
        <v>0</v>
      </c>
      <c r="DF32" s="447">
        <f>Data!D175</f>
        <v>0</v>
      </c>
      <c r="DG32" s="447">
        <f>Data!E175</f>
        <v>0</v>
      </c>
      <c r="DH32" s="447">
        <f t="shared" ref="DH32:DH36" si="162">+DE32+DF32-DG32</f>
        <v>0</v>
      </c>
      <c r="DI32" s="818" t="str">
        <f t="shared" ref="DI32:DI36" si="163">IF(DE32=0,"-",DH32/DE32)</f>
        <v>-</v>
      </c>
      <c r="DJ32" s="818" t="str">
        <f t="shared" ref="DJ32:DJ36" si="164">IF(ISERROR(DG32/DE32),"-",DG32/DE32)</f>
        <v>-</v>
      </c>
      <c r="DK32" s="781">
        <f t="shared" ref="DK32:DK38" si="165">DD32-DE32</f>
        <v>18044.72</v>
      </c>
      <c r="DL32" s="785">
        <f t="shared" ref="DL32:DL38" si="166">DE32-DH32</f>
        <v>0</v>
      </c>
      <c r="DM32" s="777">
        <f t="shared" ref="DM32:DM38" si="167">DD32-DH32</f>
        <v>18044.72</v>
      </c>
      <c r="DN32" s="211"/>
      <c r="DO32" s="228"/>
      <c r="DP32" s="445" t="s">
        <v>61</v>
      </c>
      <c r="DQ32" s="386">
        <f>BudgetedData!K14</f>
        <v>17717.78</v>
      </c>
      <c r="DR32" s="447">
        <f>Data!C195</f>
        <v>0</v>
      </c>
      <c r="DS32" s="447">
        <f>Data!D195</f>
        <v>0</v>
      </c>
      <c r="DT32" s="447">
        <f>Data!E195</f>
        <v>0</v>
      </c>
      <c r="DU32" s="447">
        <f t="shared" ref="DU32:DU36" si="168">+DR32+DS32-DT32</f>
        <v>0</v>
      </c>
      <c r="DV32" s="818" t="str">
        <f t="shared" ref="DV32:DV36" si="169">IF(DR32=0,"-",DU32/DR32)</f>
        <v>-</v>
      </c>
      <c r="DW32" s="818" t="str">
        <f t="shared" ref="DW32:DW36" si="170">IF(ISERROR(DT32/DR32),"-",DT32/DR32)</f>
        <v>-</v>
      </c>
      <c r="DX32" s="781">
        <f t="shared" ref="DX32:DX38" si="171">DQ32-DR32</f>
        <v>17717.78</v>
      </c>
      <c r="DY32" s="785">
        <f t="shared" ref="DY32:DY38" si="172">DR32-DU32</f>
        <v>0</v>
      </c>
      <c r="DZ32" s="777">
        <f t="shared" ref="DZ32:DZ38" si="173">DQ32-DU32</f>
        <v>17717.78</v>
      </c>
      <c r="EA32" s="25"/>
      <c r="EB32" s="229"/>
      <c r="EC32" s="445" t="s">
        <v>61</v>
      </c>
      <c r="ED32" s="386">
        <f>BudgetedData!L14</f>
        <v>17411.75</v>
      </c>
      <c r="EE32" s="447">
        <f>Data!C215</f>
        <v>0</v>
      </c>
      <c r="EF32" s="447">
        <f>Data!D215</f>
        <v>0</v>
      </c>
      <c r="EG32" s="447">
        <f>Data!E215</f>
        <v>0</v>
      </c>
      <c r="EH32" s="447">
        <f t="shared" ref="EH32:EH36" si="174">+EE32+EF32-EG32</f>
        <v>0</v>
      </c>
      <c r="EI32" s="818" t="str">
        <f t="shared" ref="EI32:EI36" si="175">IF(EE32=0,"-",EH32/EE32)</f>
        <v>-</v>
      </c>
      <c r="EJ32" s="818" t="str">
        <f t="shared" ref="EJ32:EJ36" si="176">IF(ISERROR(EG32/EE32),"-",EG32/EE32)</f>
        <v>-</v>
      </c>
      <c r="EK32" s="781">
        <f t="shared" ref="EK32:EK36" si="177">ED32-EE32</f>
        <v>17411.75</v>
      </c>
      <c r="EL32" s="785">
        <f t="shared" ref="EL32:EL36" si="178">EE32-EH32</f>
        <v>0</v>
      </c>
      <c r="EM32" s="777">
        <f t="shared" ref="EM32:EM36" si="179">ED32-EH32</f>
        <v>17411.75</v>
      </c>
      <c r="EN32" s="785"/>
      <c r="EO32" s="230"/>
      <c r="EP32" s="445" t="s">
        <v>61</v>
      </c>
      <c r="EQ32" s="386">
        <f>BudgetedData!M14</f>
        <v>17717.78</v>
      </c>
      <c r="ER32" s="447">
        <f>Data!C235</f>
        <v>0</v>
      </c>
      <c r="ES32" s="447">
        <f>Data!D235</f>
        <v>0</v>
      </c>
      <c r="ET32" s="447">
        <f>Data!E235</f>
        <v>0</v>
      </c>
      <c r="EU32" s="447">
        <f t="shared" ref="EU32:EU36" si="180">+ER32+ES32-ET32</f>
        <v>0</v>
      </c>
      <c r="EV32" s="818" t="str">
        <f t="shared" ref="EV32:EV36" si="181">IF(ER32=0,"-",EU32/ER32)</f>
        <v>-</v>
      </c>
      <c r="EW32" s="818" t="str">
        <f t="shared" ref="EW32:EW36" si="182">IF(ISERROR(ET32/ER32),"-",ET32/ER32)</f>
        <v>-</v>
      </c>
      <c r="EX32" s="781">
        <f t="shared" ref="EX32:EX36" si="183">EQ32-ER32</f>
        <v>17717.78</v>
      </c>
      <c r="EY32" s="785">
        <f t="shared" ref="EY32:EY36" si="184">ER32-EU32</f>
        <v>0</v>
      </c>
      <c r="EZ32" s="777">
        <f t="shared" ref="EZ32:EZ36" si="185">EQ32-EU32</f>
        <v>17717.78</v>
      </c>
      <c r="FA32" s="25"/>
      <c r="FB32" s="785"/>
      <c r="FC32" s="25"/>
      <c r="FD32" s="211"/>
      <c r="FE32" s="211"/>
      <c r="FF32" s="25"/>
      <c r="FG32" s="25"/>
      <c r="FH32" s="25"/>
      <c r="FI32" s="25"/>
      <c r="FJ32" s="776"/>
      <c r="FK32" s="776"/>
    </row>
    <row r="33" spans="1:166" s="208" customFormat="1" ht="15" customHeight="1">
      <c r="A33" s="780"/>
      <c r="B33" s="778"/>
      <c r="C33" s="445" t="s">
        <v>62</v>
      </c>
      <c r="D33" s="386">
        <f>BudgetedData!B15</f>
        <v>14385.53</v>
      </c>
      <c r="E33" s="447">
        <f>Data!C16</f>
        <v>14012.1</v>
      </c>
      <c r="F33" s="447">
        <f>Data!D16</f>
        <v>0</v>
      </c>
      <c r="G33" s="447">
        <f>Data!E16</f>
        <v>93.8</v>
      </c>
      <c r="H33" s="447">
        <f t="shared" si="115"/>
        <v>13918.300000000001</v>
      </c>
      <c r="I33" s="818">
        <f t="shared" si="116"/>
        <v>0.99330578571377603</v>
      </c>
      <c r="J33" s="818">
        <f t="shared" si="117"/>
        <v>6.6942142862240492E-3</v>
      </c>
      <c r="K33" s="781">
        <f t="shared" si="118"/>
        <v>373.43000000000029</v>
      </c>
      <c r="L33" s="785">
        <f t="shared" si="119"/>
        <v>93.799999999999272</v>
      </c>
      <c r="M33" s="777">
        <f t="shared" si="120"/>
        <v>467.22999999999956</v>
      </c>
      <c r="N33" s="785"/>
      <c r="O33" s="793"/>
      <c r="P33" s="445" t="s">
        <v>62</v>
      </c>
      <c r="Q33" s="386">
        <f>BudgetedData!C15</f>
        <v>14421.22</v>
      </c>
      <c r="R33" s="447">
        <f>Data!C36</f>
        <v>14117.9</v>
      </c>
      <c r="S33" s="447">
        <f>Data!D36</f>
        <v>0</v>
      </c>
      <c r="T33" s="447">
        <f>Data!E36</f>
        <v>35.799999999999997</v>
      </c>
      <c r="U33" s="447">
        <f t="shared" si="121"/>
        <v>14082.1</v>
      </c>
      <c r="V33" s="818">
        <f t="shared" si="122"/>
        <v>0.99746421209953329</v>
      </c>
      <c r="W33" s="818">
        <f t="shared" si="123"/>
        <v>2.535787900466783E-3</v>
      </c>
      <c r="X33" s="781">
        <f t="shared" si="124"/>
        <v>303.31999999999971</v>
      </c>
      <c r="Y33" s="785">
        <f t="shared" si="125"/>
        <v>35.799999999999272</v>
      </c>
      <c r="Z33" s="777">
        <f t="shared" si="126"/>
        <v>339.11999999999898</v>
      </c>
      <c r="AA33" s="25"/>
      <c r="AB33" s="783"/>
      <c r="AC33" s="445" t="s">
        <v>62</v>
      </c>
      <c r="AD33" s="386">
        <f>BudgetedData!D15</f>
        <v>13632.22</v>
      </c>
      <c r="AE33" s="447">
        <f>Data!C56</f>
        <v>13363.4</v>
      </c>
      <c r="AF33" s="447">
        <f>Data!D56</f>
        <v>0</v>
      </c>
      <c r="AG33" s="447">
        <f>Data!E56</f>
        <v>28.8</v>
      </c>
      <c r="AH33" s="447">
        <f t="shared" si="127"/>
        <v>13334.6</v>
      </c>
      <c r="AI33" s="818">
        <f t="shared" si="128"/>
        <v>0.99784485984105842</v>
      </c>
      <c r="AJ33" s="818">
        <f t="shared" si="129"/>
        <v>2.1551401589415867E-3</v>
      </c>
      <c r="AK33" s="781">
        <f t="shared" si="130"/>
        <v>268.81999999999971</v>
      </c>
      <c r="AL33" s="785">
        <f t="shared" si="131"/>
        <v>28.799999999999272</v>
      </c>
      <c r="AM33" s="777">
        <f t="shared" si="132"/>
        <v>297.61999999999898</v>
      </c>
      <c r="AN33" s="25"/>
      <c r="AO33" s="226"/>
      <c r="AP33" s="445" t="s">
        <v>62</v>
      </c>
      <c r="AQ33" s="386">
        <f>BudgetedData!E15</f>
        <v>14157.78</v>
      </c>
      <c r="AR33" s="447">
        <f>Data!C76</f>
        <v>14235.4</v>
      </c>
      <c r="AS33" s="447">
        <f>Data!D76</f>
        <v>0</v>
      </c>
      <c r="AT33" s="447">
        <f>Data!E76</f>
        <v>40.299999999999997</v>
      </c>
      <c r="AU33" s="447">
        <f t="shared" si="133"/>
        <v>14195.1</v>
      </c>
      <c r="AV33" s="818">
        <f t="shared" si="134"/>
        <v>0.99716902932126961</v>
      </c>
      <c r="AW33" s="818">
        <f t="shared" si="135"/>
        <v>2.8309706787304888E-3</v>
      </c>
      <c r="AX33" s="781">
        <f t="shared" si="136"/>
        <v>-77.619999999998981</v>
      </c>
      <c r="AY33" s="785">
        <f t="shared" si="137"/>
        <v>40.299999999999272</v>
      </c>
      <c r="AZ33" s="777">
        <f t="shared" si="138"/>
        <v>-37.319999999999709</v>
      </c>
      <c r="BA33" s="772"/>
      <c r="BB33" s="786"/>
      <c r="BC33" s="445" t="s">
        <v>62</v>
      </c>
      <c r="BD33" s="386">
        <f>BudgetedData!F15</f>
        <v>13667.91</v>
      </c>
      <c r="BE33" s="447">
        <f>Data!C96</f>
        <v>0</v>
      </c>
      <c r="BF33" s="447">
        <f>Data!D96</f>
        <v>0</v>
      </c>
      <c r="BG33" s="447">
        <f>Data!E96</f>
        <v>0</v>
      </c>
      <c r="BH33" s="447">
        <f t="shared" si="139"/>
        <v>0</v>
      </c>
      <c r="BI33" s="818" t="str">
        <f t="shared" si="140"/>
        <v>-</v>
      </c>
      <c r="BJ33" s="818" t="str">
        <f t="shared" si="141"/>
        <v>-</v>
      </c>
      <c r="BK33" s="781">
        <f t="shared" si="142"/>
        <v>13667.91</v>
      </c>
      <c r="BL33" s="785">
        <f t="shared" si="143"/>
        <v>0</v>
      </c>
      <c r="BM33" s="777">
        <f t="shared" si="144"/>
        <v>13667.91</v>
      </c>
      <c r="BN33" s="25"/>
      <c r="BO33" s="787"/>
      <c r="BP33" s="445" t="s">
        <v>62</v>
      </c>
      <c r="BQ33" s="386">
        <f>BudgetedData!G15</f>
        <v>14157.78</v>
      </c>
      <c r="BR33" s="447">
        <f>Data!C116</f>
        <v>0</v>
      </c>
      <c r="BS33" s="447">
        <f>Data!D116</f>
        <v>0</v>
      </c>
      <c r="BT33" s="447">
        <f>Data!E116</f>
        <v>0</v>
      </c>
      <c r="BU33" s="447">
        <f>+BR33+BS33-BT33</f>
        <v>0</v>
      </c>
      <c r="BV33" s="818" t="str">
        <f t="shared" si="145"/>
        <v>-</v>
      </c>
      <c r="BW33" s="818" t="str">
        <f t="shared" si="146"/>
        <v>-</v>
      </c>
      <c r="BX33" s="781">
        <f t="shared" si="147"/>
        <v>14157.78</v>
      </c>
      <c r="BY33" s="785">
        <f t="shared" si="148"/>
        <v>0</v>
      </c>
      <c r="BZ33" s="777">
        <f t="shared" si="149"/>
        <v>14157.78</v>
      </c>
      <c r="CA33" s="25"/>
      <c r="CB33" s="794"/>
      <c r="CC33" s="445" t="s">
        <v>62</v>
      </c>
      <c r="CD33" s="386">
        <f>BudgetedData!H15</f>
        <v>14157.78</v>
      </c>
      <c r="CE33" s="447">
        <f>Data!C136</f>
        <v>0</v>
      </c>
      <c r="CF33" s="447">
        <f>Data!D136</f>
        <v>0</v>
      </c>
      <c r="CG33" s="447">
        <f>Data!E136</f>
        <v>0</v>
      </c>
      <c r="CH33" s="447">
        <f t="shared" si="150"/>
        <v>0</v>
      </c>
      <c r="CI33" s="818" t="str">
        <f t="shared" si="151"/>
        <v>-</v>
      </c>
      <c r="CJ33" s="818" t="str">
        <f t="shared" si="152"/>
        <v>-</v>
      </c>
      <c r="CK33" s="781">
        <f t="shared" si="153"/>
        <v>14157.78</v>
      </c>
      <c r="CL33" s="785">
        <f t="shared" si="154"/>
        <v>0</v>
      </c>
      <c r="CM33" s="777">
        <f t="shared" si="155"/>
        <v>14157.78</v>
      </c>
      <c r="CN33" s="25"/>
      <c r="CO33" s="227"/>
      <c r="CP33" s="445" t="s">
        <v>62</v>
      </c>
      <c r="CQ33" s="386">
        <f>BudgetedData!I15</f>
        <v>13370.1</v>
      </c>
      <c r="CR33" s="447">
        <f>Data!C156</f>
        <v>0</v>
      </c>
      <c r="CS33" s="447">
        <f>Data!D156</f>
        <v>0</v>
      </c>
      <c r="CT33" s="447">
        <f>Data!E156</f>
        <v>0</v>
      </c>
      <c r="CU33" s="447">
        <f t="shared" si="156"/>
        <v>0</v>
      </c>
      <c r="CV33" s="818" t="str">
        <f t="shared" si="157"/>
        <v>-</v>
      </c>
      <c r="CW33" s="818" t="str">
        <f t="shared" si="158"/>
        <v>-</v>
      </c>
      <c r="CX33" s="781">
        <f t="shared" si="159"/>
        <v>13370.1</v>
      </c>
      <c r="CY33" s="785">
        <f t="shared" si="160"/>
        <v>0</v>
      </c>
      <c r="CZ33" s="777">
        <f t="shared" si="161"/>
        <v>13370.1</v>
      </c>
      <c r="DA33" s="211"/>
      <c r="DB33" s="379"/>
      <c r="DC33" s="445" t="s">
        <v>62</v>
      </c>
      <c r="DD33" s="386">
        <f>BudgetedData!J15</f>
        <v>14385.53</v>
      </c>
      <c r="DE33" s="447">
        <f>Data!C176</f>
        <v>0</v>
      </c>
      <c r="DF33" s="447">
        <f>Data!D176</f>
        <v>0</v>
      </c>
      <c r="DG33" s="447">
        <f>Data!E176</f>
        <v>0</v>
      </c>
      <c r="DH33" s="447">
        <f t="shared" si="162"/>
        <v>0</v>
      </c>
      <c r="DI33" s="818" t="str">
        <f t="shared" si="163"/>
        <v>-</v>
      </c>
      <c r="DJ33" s="818" t="str">
        <f t="shared" si="164"/>
        <v>-</v>
      </c>
      <c r="DK33" s="781">
        <f t="shared" si="165"/>
        <v>14385.53</v>
      </c>
      <c r="DL33" s="785">
        <f t="shared" si="166"/>
        <v>0</v>
      </c>
      <c r="DM33" s="777">
        <f t="shared" si="167"/>
        <v>14385.53</v>
      </c>
      <c r="DN33" s="211"/>
      <c r="DO33" s="228"/>
      <c r="DP33" s="445" t="s">
        <v>62</v>
      </c>
      <c r="DQ33" s="386">
        <f>BudgetedData!K15</f>
        <v>14087.71</v>
      </c>
      <c r="DR33" s="447">
        <f>Data!C196</f>
        <v>0</v>
      </c>
      <c r="DS33" s="447">
        <f>Data!D196</f>
        <v>0</v>
      </c>
      <c r="DT33" s="447">
        <f>Data!E196</f>
        <v>0</v>
      </c>
      <c r="DU33" s="447">
        <f t="shared" si="168"/>
        <v>0</v>
      </c>
      <c r="DV33" s="818" t="str">
        <f t="shared" si="169"/>
        <v>-</v>
      </c>
      <c r="DW33" s="818" t="str">
        <f t="shared" si="170"/>
        <v>-</v>
      </c>
      <c r="DX33" s="781">
        <f t="shared" si="171"/>
        <v>14087.71</v>
      </c>
      <c r="DY33" s="785">
        <f t="shared" si="172"/>
        <v>0</v>
      </c>
      <c r="DZ33" s="777">
        <f t="shared" si="173"/>
        <v>14087.71</v>
      </c>
      <c r="EA33" s="25"/>
      <c r="EB33" s="229"/>
      <c r="EC33" s="445" t="s">
        <v>62</v>
      </c>
      <c r="ED33" s="386">
        <f>BudgetedData!L15</f>
        <v>13965.73</v>
      </c>
      <c r="EE33" s="447">
        <f>Data!C216</f>
        <v>0</v>
      </c>
      <c r="EF33" s="447">
        <f>Data!D216</f>
        <v>0</v>
      </c>
      <c r="EG33" s="447">
        <f>Data!E216</f>
        <v>0</v>
      </c>
      <c r="EH33" s="447">
        <f t="shared" si="174"/>
        <v>0</v>
      </c>
      <c r="EI33" s="818" t="str">
        <f t="shared" si="175"/>
        <v>-</v>
      </c>
      <c r="EJ33" s="818" t="str">
        <f t="shared" si="176"/>
        <v>-</v>
      </c>
      <c r="EK33" s="781">
        <f t="shared" si="177"/>
        <v>13965.73</v>
      </c>
      <c r="EL33" s="785">
        <f t="shared" si="178"/>
        <v>0</v>
      </c>
      <c r="EM33" s="777">
        <f t="shared" si="179"/>
        <v>13965.73</v>
      </c>
      <c r="EN33" s="785"/>
      <c r="EO33" s="230"/>
      <c r="EP33" s="445" t="s">
        <v>62</v>
      </c>
      <c r="EQ33" s="386">
        <f>BudgetedData!M15</f>
        <v>14087.71</v>
      </c>
      <c r="ER33" s="447">
        <f>Data!C236</f>
        <v>0</v>
      </c>
      <c r="ES33" s="447">
        <f>Data!D236</f>
        <v>0</v>
      </c>
      <c r="ET33" s="447">
        <f>Data!E236</f>
        <v>0</v>
      </c>
      <c r="EU33" s="447">
        <f t="shared" si="180"/>
        <v>0</v>
      </c>
      <c r="EV33" s="818" t="str">
        <f t="shared" si="181"/>
        <v>-</v>
      </c>
      <c r="EW33" s="818" t="str">
        <f t="shared" si="182"/>
        <v>-</v>
      </c>
      <c r="EX33" s="781">
        <f t="shared" si="183"/>
        <v>14087.71</v>
      </c>
      <c r="EY33" s="785">
        <f t="shared" si="184"/>
        <v>0</v>
      </c>
      <c r="EZ33" s="777">
        <f t="shared" si="185"/>
        <v>14087.71</v>
      </c>
      <c r="FA33" s="25"/>
      <c r="FB33" s="785"/>
      <c r="FC33" s="25"/>
      <c r="FD33" s="211"/>
      <c r="FE33" s="211"/>
      <c r="FF33" s="25"/>
      <c r="FG33" s="25"/>
      <c r="FH33" s="25"/>
      <c r="FI33" s="25"/>
      <c r="FJ33" s="776"/>
    </row>
    <row r="34" spans="1:166" s="208" customFormat="1" ht="15" customHeight="1">
      <c r="A34" s="777"/>
      <c r="B34" s="778"/>
      <c r="C34" s="445" t="s">
        <v>63</v>
      </c>
      <c r="D34" s="386">
        <f>BudgetedData!B16</f>
        <v>1135</v>
      </c>
      <c r="E34" s="447"/>
      <c r="F34" s="447"/>
      <c r="G34" s="447"/>
      <c r="H34" s="447">
        <f t="shared" si="115"/>
        <v>0</v>
      </c>
      <c r="I34" s="818" t="str">
        <f t="shared" si="116"/>
        <v>-</v>
      </c>
      <c r="J34" s="818" t="str">
        <f t="shared" si="117"/>
        <v>-</v>
      </c>
      <c r="K34" s="781">
        <f t="shared" si="118"/>
        <v>1135</v>
      </c>
      <c r="L34" s="785">
        <f t="shared" si="119"/>
        <v>0</v>
      </c>
      <c r="M34" s="777">
        <f t="shared" si="120"/>
        <v>1135</v>
      </c>
      <c r="N34" s="785"/>
      <c r="O34" s="793"/>
      <c r="P34" s="445" t="s">
        <v>64</v>
      </c>
      <c r="Q34" s="386">
        <f>BudgetedData!C16</f>
        <v>1140</v>
      </c>
      <c r="R34" s="447"/>
      <c r="S34" s="447"/>
      <c r="T34" s="447"/>
      <c r="U34" s="447">
        <f t="shared" si="121"/>
        <v>0</v>
      </c>
      <c r="V34" s="818" t="str">
        <f t="shared" si="122"/>
        <v>-</v>
      </c>
      <c r="W34" s="818" t="str">
        <f t="shared" si="123"/>
        <v>-</v>
      </c>
      <c r="X34" s="781">
        <f t="shared" si="124"/>
        <v>1140</v>
      </c>
      <c r="Y34" s="785">
        <f t="shared" si="125"/>
        <v>0</v>
      </c>
      <c r="Z34" s="777">
        <f t="shared" si="126"/>
        <v>1140</v>
      </c>
      <c r="AA34" s="25"/>
      <c r="AB34" s="783"/>
      <c r="AC34" s="445" t="s">
        <v>64</v>
      </c>
      <c r="AD34" s="386">
        <f>BudgetedData!D16</f>
        <v>1072</v>
      </c>
      <c r="AE34" s="447"/>
      <c r="AF34" s="447"/>
      <c r="AG34" s="447"/>
      <c r="AH34" s="447">
        <f t="shared" si="127"/>
        <v>0</v>
      </c>
      <c r="AI34" s="818" t="str">
        <f t="shared" si="128"/>
        <v>-</v>
      </c>
      <c r="AJ34" s="818" t="str">
        <f t="shared" si="129"/>
        <v>-</v>
      </c>
      <c r="AK34" s="781">
        <f t="shared" si="130"/>
        <v>1072</v>
      </c>
      <c r="AL34" s="785">
        <f t="shared" si="131"/>
        <v>0</v>
      </c>
      <c r="AM34" s="777">
        <f t="shared" si="132"/>
        <v>1072</v>
      </c>
      <c r="AN34" s="25"/>
      <c r="AO34" s="226"/>
      <c r="AP34" s="445" t="s">
        <v>64</v>
      </c>
      <c r="AQ34" s="386">
        <f>BudgetedData!E16</f>
        <v>1114</v>
      </c>
      <c r="AR34" s="447"/>
      <c r="AS34" s="447"/>
      <c r="AT34" s="447"/>
      <c r="AU34" s="447">
        <f t="shared" si="133"/>
        <v>0</v>
      </c>
      <c r="AV34" s="818" t="str">
        <f t="shared" si="134"/>
        <v>-</v>
      </c>
      <c r="AW34" s="818" t="str">
        <f t="shared" si="135"/>
        <v>-</v>
      </c>
      <c r="AX34" s="781">
        <f t="shared" si="136"/>
        <v>1114</v>
      </c>
      <c r="AY34" s="785">
        <f t="shared" si="137"/>
        <v>0</v>
      </c>
      <c r="AZ34" s="777">
        <f t="shared" si="138"/>
        <v>1114</v>
      </c>
      <c r="BA34" s="772"/>
      <c r="BB34" s="786"/>
      <c r="BC34" s="445" t="s">
        <v>64</v>
      </c>
      <c r="BD34" s="386">
        <f>BudgetedData!F16</f>
        <v>1076</v>
      </c>
      <c r="BE34" s="447"/>
      <c r="BF34" s="447"/>
      <c r="BG34" s="447"/>
      <c r="BH34" s="447">
        <f t="shared" si="139"/>
        <v>0</v>
      </c>
      <c r="BI34" s="818" t="str">
        <f t="shared" si="140"/>
        <v>-</v>
      </c>
      <c r="BJ34" s="818" t="str">
        <f t="shared" si="141"/>
        <v>-</v>
      </c>
      <c r="BK34" s="781">
        <f t="shared" si="142"/>
        <v>1076</v>
      </c>
      <c r="BL34" s="785">
        <f t="shared" si="143"/>
        <v>0</v>
      </c>
      <c r="BM34" s="777">
        <f t="shared" si="144"/>
        <v>1076</v>
      </c>
      <c r="BN34" s="25"/>
      <c r="BO34" s="787"/>
      <c r="BP34" s="445" t="s">
        <v>64</v>
      </c>
      <c r="BQ34" s="386">
        <f>BudgetedData!G16</f>
        <v>1114</v>
      </c>
      <c r="BR34" s="447"/>
      <c r="BS34" s="447"/>
      <c r="BT34" s="447"/>
      <c r="BU34" s="447">
        <f>+BR34+BS34-BT34</f>
        <v>0</v>
      </c>
      <c r="BV34" s="818" t="str">
        <f t="shared" si="145"/>
        <v>-</v>
      </c>
      <c r="BW34" s="818" t="str">
        <f t="shared" si="146"/>
        <v>-</v>
      </c>
      <c r="BX34" s="781">
        <f t="shared" si="147"/>
        <v>1114</v>
      </c>
      <c r="BY34" s="785">
        <f t="shared" si="148"/>
        <v>0</v>
      </c>
      <c r="BZ34" s="777">
        <f t="shared" si="149"/>
        <v>1114</v>
      </c>
      <c r="CA34" s="25"/>
      <c r="CB34" s="794"/>
      <c r="CC34" s="445" t="s">
        <v>64</v>
      </c>
      <c r="CD34" s="386">
        <f>BudgetedData!H16</f>
        <v>1114</v>
      </c>
      <c r="CE34" s="447"/>
      <c r="CF34" s="447"/>
      <c r="CG34" s="447"/>
      <c r="CH34" s="447">
        <f t="shared" si="150"/>
        <v>0</v>
      </c>
      <c r="CI34" s="818" t="str">
        <f t="shared" si="151"/>
        <v>-</v>
      </c>
      <c r="CJ34" s="818" t="str">
        <f t="shared" si="152"/>
        <v>-</v>
      </c>
      <c r="CK34" s="781">
        <f t="shared" si="153"/>
        <v>1114</v>
      </c>
      <c r="CL34" s="785">
        <f t="shared" si="154"/>
        <v>0</v>
      </c>
      <c r="CM34" s="777">
        <f t="shared" si="155"/>
        <v>1114</v>
      </c>
      <c r="CN34" s="25"/>
      <c r="CO34" s="227"/>
      <c r="CP34" s="445" t="s">
        <v>64</v>
      </c>
      <c r="CQ34" s="386">
        <f>BudgetedData!I16</f>
        <v>1055</v>
      </c>
      <c r="CR34" s="447"/>
      <c r="CS34" s="447"/>
      <c r="CT34" s="447"/>
      <c r="CU34" s="447">
        <f t="shared" si="156"/>
        <v>0</v>
      </c>
      <c r="CV34" s="818" t="str">
        <f t="shared" si="157"/>
        <v>-</v>
      </c>
      <c r="CW34" s="818" t="str">
        <f t="shared" si="158"/>
        <v>-</v>
      </c>
      <c r="CX34" s="781">
        <f t="shared" si="159"/>
        <v>1055</v>
      </c>
      <c r="CY34" s="785">
        <f t="shared" si="160"/>
        <v>0</v>
      </c>
      <c r="CZ34" s="777">
        <f t="shared" si="161"/>
        <v>1055</v>
      </c>
      <c r="DA34" s="211"/>
      <c r="DB34" s="379"/>
      <c r="DC34" s="445" t="s">
        <v>64</v>
      </c>
      <c r="DD34" s="386">
        <f>BudgetedData!J16</f>
        <v>1135</v>
      </c>
      <c r="DE34" s="447"/>
      <c r="DF34" s="447"/>
      <c r="DG34" s="447"/>
      <c r="DH34" s="447">
        <f t="shared" si="162"/>
        <v>0</v>
      </c>
      <c r="DI34" s="818" t="str">
        <f t="shared" si="163"/>
        <v>-</v>
      </c>
      <c r="DJ34" s="818" t="str">
        <f t="shared" si="164"/>
        <v>-</v>
      </c>
      <c r="DK34" s="781">
        <f t="shared" si="165"/>
        <v>1135</v>
      </c>
      <c r="DL34" s="785">
        <f t="shared" si="166"/>
        <v>0</v>
      </c>
      <c r="DM34" s="777">
        <f t="shared" si="167"/>
        <v>1135</v>
      </c>
      <c r="DN34" s="211"/>
      <c r="DO34" s="228"/>
      <c r="DP34" s="445" t="s">
        <v>64</v>
      </c>
      <c r="DQ34" s="386">
        <f>BudgetedData!K16</f>
        <v>1115</v>
      </c>
      <c r="DR34" s="447"/>
      <c r="DS34" s="447"/>
      <c r="DT34" s="447"/>
      <c r="DU34" s="447">
        <f t="shared" si="168"/>
        <v>0</v>
      </c>
      <c r="DV34" s="818" t="str">
        <f t="shared" si="169"/>
        <v>-</v>
      </c>
      <c r="DW34" s="818" t="str">
        <f t="shared" si="170"/>
        <v>-</v>
      </c>
      <c r="DX34" s="781">
        <f t="shared" si="171"/>
        <v>1115</v>
      </c>
      <c r="DY34" s="785">
        <f t="shared" si="172"/>
        <v>0</v>
      </c>
      <c r="DZ34" s="777">
        <f t="shared" si="173"/>
        <v>1115</v>
      </c>
      <c r="EA34" s="25"/>
      <c r="EB34" s="229"/>
      <c r="EC34" s="445" t="s">
        <v>64</v>
      </c>
      <c r="ED34" s="386">
        <f>BudgetedData!L16</f>
        <v>1097</v>
      </c>
      <c r="EE34" s="447"/>
      <c r="EF34" s="447"/>
      <c r="EG34" s="447"/>
      <c r="EH34" s="447">
        <f t="shared" si="174"/>
        <v>0</v>
      </c>
      <c r="EI34" s="818" t="str">
        <f t="shared" si="175"/>
        <v>-</v>
      </c>
      <c r="EJ34" s="818" t="str">
        <f t="shared" si="176"/>
        <v>-</v>
      </c>
      <c r="EK34" s="781">
        <f t="shared" si="177"/>
        <v>1097</v>
      </c>
      <c r="EL34" s="785">
        <f t="shared" si="178"/>
        <v>0</v>
      </c>
      <c r="EM34" s="777">
        <f t="shared" si="179"/>
        <v>1097</v>
      </c>
      <c r="EN34" s="785"/>
      <c r="EO34" s="230"/>
      <c r="EP34" s="445" t="s">
        <v>64</v>
      </c>
      <c r="EQ34" s="386">
        <f>BudgetedData!M16</f>
        <v>1115</v>
      </c>
      <c r="ER34" s="447"/>
      <c r="ES34" s="447"/>
      <c r="ET34" s="447"/>
      <c r="EU34" s="447">
        <f t="shared" si="180"/>
        <v>0</v>
      </c>
      <c r="EV34" s="818" t="str">
        <f t="shared" si="181"/>
        <v>-</v>
      </c>
      <c r="EW34" s="818" t="str">
        <f t="shared" si="182"/>
        <v>-</v>
      </c>
      <c r="EX34" s="781">
        <f t="shared" si="183"/>
        <v>1115</v>
      </c>
      <c r="EY34" s="785">
        <f t="shared" si="184"/>
        <v>0</v>
      </c>
      <c r="EZ34" s="777">
        <f t="shared" si="185"/>
        <v>1115</v>
      </c>
      <c r="FA34" s="25"/>
      <c r="FB34" s="785"/>
      <c r="FC34" s="25"/>
      <c r="FD34" s="211"/>
      <c r="FE34" s="211"/>
      <c r="FF34" s="25"/>
      <c r="FG34" s="25"/>
      <c r="FH34" s="25"/>
      <c r="FI34" s="25"/>
      <c r="FJ34" s="776"/>
    </row>
    <row r="35" spans="1:166" s="208" customFormat="1" ht="15" customHeight="1">
      <c r="A35" s="777"/>
      <c r="B35" s="778"/>
      <c r="C35" s="445" t="s">
        <v>65</v>
      </c>
      <c r="D35" s="386">
        <f>BudgetedData!B17</f>
        <v>126</v>
      </c>
      <c r="E35" s="447"/>
      <c r="F35" s="447"/>
      <c r="G35" s="447"/>
      <c r="H35" s="447">
        <f t="shared" si="115"/>
        <v>0</v>
      </c>
      <c r="I35" s="818" t="str">
        <f t="shared" si="116"/>
        <v>-</v>
      </c>
      <c r="J35" s="818" t="str">
        <f t="shared" si="117"/>
        <v>-</v>
      </c>
      <c r="K35" s="781">
        <f t="shared" si="118"/>
        <v>126</v>
      </c>
      <c r="L35" s="785">
        <f t="shared" si="119"/>
        <v>0</v>
      </c>
      <c r="M35" s="777">
        <f t="shared" si="120"/>
        <v>126</v>
      </c>
      <c r="N35" s="785"/>
      <c r="O35" s="793"/>
      <c r="P35" s="445" t="s">
        <v>66</v>
      </c>
      <c r="Q35" s="386">
        <f>BudgetedData!C17</f>
        <v>126</v>
      </c>
      <c r="R35" s="447"/>
      <c r="S35" s="447"/>
      <c r="T35" s="447"/>
      <c r="U35" s="447">
        <f t="shared" si="121"/>
        <v>0</v>
      </c>
      <c r="V35" s="818" t="str">
        <f t="shared" si="122"/>
        <v>-</v>
      </c>
      <c r="W35" s="818" t="str">
        <f t="shared" si="123"/>
        <v>-</v>
      </c>
      <c r="X35" s="781">
        <f t="shared" si="124"/>
        <v>126</v>
      </c>
      <c r="Y35" s="785">
        <f t="shared" si="125"/>
        <v>0</v>
      </c>
      <c r="Z35" s="777">
        <f t="shared" si="126"/>
        <v>126</v>
      </c>
      <c r="AA35" s="25"/>
      <c r="AB35" s="783"/>
      <c r="AC35" s="445" t="s">
        <v>66</v>
      </c>
      <c r="AD35" s="386">
        <f>BudgetedData!D17</f>
        <v>119</v>
      </c>
      <c r="AE35" s="447"/>
      <c r="AF35" s="447"/>
      <c r="AG35" s="447"/>
      <c r="AH35" s="447">
        <f t="shared" si="127"/>
        <v>0</v>
      </c>
      <c r="AI35" s="818" t="str">
        <f t="shared" si="128"/>
        <v>-</v>
      </c>
      <c r="AJ35" s="818" t="str">
        <f t="shared" si="129"/>
        <v>-</v>
      </c>
      <c r="AK35" s="781">
        <f t="shared" si="130"/>
        <v>119</v>
      </c>
      <c r="AL35" s="785">
        <f t="shared" si="131"/>
        <v>0</v>
      </c>
      <c r="AM35" s="777">
        <f t="shared" si="132"/>
        <v>119</v>
      </c>
      <c r="AN35" s="25"/>
      <c r="AO35" s="226"/>
      <c r="AP35" s="445" t="s">
        <v>66</v>
      </c>
      <c r="AQ35" s="386">
        <f>BudgetedData!E17</f>
        <v>123</v>
      </c>
      <c r="AR35" s="447"/>
      <c r="AS35" s="447"/>
      <c r="AT35" s="447"/>
      <c r="AU35" s="447">
        <f t="shared" si="133"/>
        <v>0</v>
      </c>
      <c r="AV35" s="818" t="str">
        <f t="shared" si="134"/>
        <v>-</v>
      </c>
      <c r="AW35" s="818" t="str">
        <f t="shared" si="135"/>
        <v>-</v>
      </c>
      <c r="AX35" s="781">
        <f t="shared" si="136"/>
        <v>123</v>
      </c>
      <c r="AY35" s="785">
        <f t="shared" si="137"/>
        <v>0</v>
      </c>
      <c r="AZ35" s="777">
        <f t="shared" si="138"/>
        <v>123</v>
      </c>
      <c r="BA35" s="772"/>
      <c r="BB35" s="786"/>
      <c r="BC35" s="445" t="s">
        <v>66</v>
      </c>
      <c r="BD35" s="386">
        <f>BudgetedData!F17</f>
        <v>119</v>
      </c>
      <c r="BE35" s="447"/>
      <c r="BF35" s="447"/>
      <c r="BG35" s="447"/>
      <c r="BH35" s="447">
        <f t="shared" si="139"/>
        <v>0</v>
      </c>
      <c r="BI35" s="818" t="str">
        <f t="shared" si="140"/>
        <v>-</v>
      </c>
      <c r="BJ35" s="818" t="str">
        <f t="shared" si="141"/>
        <v>-</v>
      </c>
      <c r="BK35" s="781">
        <f t="shared" si="142"/>
        <v>119</v>
      </c>
      <c r="BL35" s="785">
        <f t="shared" si="143"/>
        <v>0</v>
      </c>
      <c r="BM35" s="777">
        <f t="shared" si="144"/>
        <v>119</v>
      </c>
      <c r="BN35" s="25"/>
      <c r="BO35" s="787"/>
      <c r="BP35" s="445" t="s">
        <v>66</v>
      </c>
      <c r="BQ35" s="386">
        <f>BudgetedData!G17</f>
        <v>123</v>
      </c>
      <c r="BR35" s="447"/>
      <c r="BS35" s="447"/>
      <c r="BT35" s="447"/>
      <c r="BU35" s="447">
        <f>+BR35+BS35-BT35</f>
        <v>0</v>
      </c>
      <c r="BV35" s="818" t="str">
        <f t="shared" si="145"/>
        <v>-</v>
      </c>
      <c r="BW35" s="818" t="str">
        <f t="shared" si="146"/>
        <v>-</v>
      </c>
      <c r="BX35" s="781">
        <f t="shared" si="147"/>
        <v>123</v>
      </c>
      <c r="BY35" s="785">
        <f t="shared" si="148"/>
        <v>0</v>
      </c>
      <c r="BZ35" s="777">
        <f t="shared" si="149"/>
        <v>123</v>
      </c>
      <c r="CA35" s="25"/>
      <c r="CB35" s="794"/>
      <c r="CC35" s="445" t="s">
        <v>66</v>
      </c>
      <c r="CD35" s="386">
        <f>BudgetedData!H17</f>
        <v>123</v>
      </c>
      <c r="CE35" s="447"/>
      <c r="CF35" s="447"/>
      <c r="CG35" s="447"/>
      <c r="CH35" s="447">
        <f t="shared" si="150"/>
        <v>0</v>
      </c>
      <c r="CI35" s="818" t="str">
        <f t="shared" si="151"/>
        <v>-</v>
      </c>
      <c r="CJ35" s="818" t="str">
        <f t="shared" si="152"/>
        <v>-</v>
      </c>
      <c r="CK35" s="781">
        <f t="shared" si="153"/>
        <v>123</v>
      </c>
      <c r="CL35" s="785">
        <f t="shared" si="154"/>
        <v>0</v>
      </c>
      <c r="CM35" s="777">
        <f t="shared" si="155"/>
        <v>123</v>
      </c>
      <c r="CN35" s="25"/>
      <c r="CO35" s="227"/>
      <c r="CP35" s="445" t="s">
        <v>66</v>
      </c>
      <c r="CQ35" s="386">
        <f>BudgetedData!I17</f>
        <v>117</v>
      </c>
      <c r="CR35" s="447"/>
      <c r="CS35" s="447"/>
      <c r="CT35" s="447"/>
      <c r="CU35" s="447">
        <f t="shared" si="156"/>
        <v>0</v>
      </c>
      <c r="CV35" s="818" t="str">
        <f t="shared" si="157"/>
        <v>-</v>
      </c>
      <c r="CW35" s="818" t="str">
        <f t="shared" si="158"/>
        <v>-</v>
      </c>
      <c r="CX35" s="781">
        <f t="shared" si="159"/>
        <v>117</v>
      </c>
      <c r="CY35" s="785">
        <f t="shared" si="160"/>
        <v>0</v>
      </c>
      <c r="CZ35" s="777">
        <f t="shared" si="161"/>
        <v>117</v>
      </c>
      <c r="DA35" s="211"/>
      <c r="DB35" s="379"/>
      <c r="DC35" s="445" t="s">
        <v>66</v>
      </c>
      <c r="DD35" s="386">
        <f>BudgetedData!J17</f>
        <v>126</v>
      </c>
      <c r="DE35" s="447"/>
      <c r="DF35" s="447"/>
      <c r="DG35" s="447"/>
      <c r="DH35" s="447">
        <f t="shared" si="162"/>
        <v>0</v>
      </c>
      <c r="DI35" s="818" t="str">
        <f t="shared" si="163"/>
        <v>-</v>
      </c>
      <c r="DJ35" s="818" t="str">
        <f t="shared" si="164"/>
        <v>-</v>
      </c>
      <c r="DK35" s="781">
        <f t="shared" si="165"/>
        <v>126</v>
      </c>
      <c r="DL35" s="785">
        <f t="shared" si="166"/>
        <v>0</v>
      </c>
      <c r="DM35" s="777">
        <f t="shared" si="167"/>
        <v>126</v>
      </c>
      <c r="DN35" s="211"/>
      <c r="DO35" s="228"/>
      <c r="DP35" s="445" t="s">
        <v>66</v>
      </c>
      <c r="DQ35" s="386">
        <f>BudgetedData!K17</f>
        <v>124</v>
      </c>
      <c r="DR35" s="447"/>
      <c r="DS35" s="447"/>
      <c r="DT35" s="447"/>
      <c r="DU35" s="447">
        <f t="shared" si="168"/>
        <v>0</v>
      </c>
      <c r="DV35" s="818" t="str">
        <f t="shared" si="169"/>
        <v>-</v>
      </c>
      <c r="DW35" s="818" t="str">
        <f t="shared" si="170"/>
        <v>-</v>
      </c>
      <c r="DX35" s="781">
        <f t="shared" si="171"/>
        <v>124</v>
      </c>
      <c r="DY35" s="785">
        <f t="shared" si="172"/>
        <v>0</v>
      </c>
      <c r="DZ35" s="777">
        <f t="shared" si="173"/>
        <v>124</v>
      </c>
      <c r="EA35" s="25"/>
      <c r="EB35" s="229"/>
      <c r="EC35" s="445" t="s">
        <v>66</v>
      </c>
      <c r="ED35" s="386">
        <f>BudgetedData!L17</f>
        <v>122</v>
      </c>
      <c r="EE35" s="447"/>
      <c r="EF35" s="447"/>
      <c r="EG35" s="447"/>
      <c r="EH35" s="447">
        <f t="shared" si="174"/>
        <v>0</v>
      </c>
      <c r="EI35" s="818" t="str">
        <f t="shared" si="175"/>
        <v>-</v>
      </c>
      <c r="EJ35" s="818" t="str">
        <f t="shared" si="176"/>
        <v>-</v>
      </c>
      <c r="EK35" s="781">
        <f t="shared" si="177"/>
        <v>122</v>
      </c>
      <c r="EL35" s="785">
        <f t="shared" si="178"/>
        <v>0</v>
      </c>
      <c r="EM35" s="777">
        <f t="shared" si="179"/>
        <v>122</v>
      </c>
      <c r="EN35" s="785"/>
      <c r="EO35" s="230"/>
      <c r="EP35" s="445" t="s">
        <v>66</v>
      </c>
      <c r="EQ35" s="386">
        <f>BudgetedData!M17</f>
        <v>124</v>
      </c>
      <c r="ER35" s="447"/>
      <c r="ES35" s="447"/>
      <c r="ET35" s="447"/>
      <c r="EU35" s="447">
        <f t="shared" si="180"/>
        <v>0</v>
      </c>
      <c r="EV35" s="818" t="str">
        <f t="shared" si="181"/>
        <v>-</v>
      </c>
      <c r="EW35" s="818" t="str">
        <f t="shared" si="182"/>
        <v>-</v>
      </c>
      <c r="EX35" s="781">
        <f t="shared" si="183"/>
        <v>124</v>
      </c>
      <c r="EY35" s="785">
        <f t="shared" si="184"/>
        <v>0</v>
      </c>
      <c r="EZ35" s="777">
        <f t="shared" si="185"/>
        <v>124</v>
      </c>
      <c r="FA35" s="25"/>
      <c r="FB35" s="785"/>
      <c r="FC35" s="25"/>
      <c r="FD35" s="211"/>
      <c r="FE35" s="211"/>
      <c r="FF35" s="25"/>
      <c r="FG35" s="25"/>
      <c r="FH35" s="25"/>
      <c r="FI35" s="25"/>
      <c r="FJ35" s="776"/>
    </row>
    <row r="36" spans="1:166" s="208" customFormat="1">
      <c r="A36" s="777"/>
      <c r="B36" s="778"/>
      <c r="C36" s="819" t="s">
        <v>67</v>
      </c>
      <c r="D36" s="386">
        <f>BudgetedData!B18</f>
        <v>319</v>
      </c>
      <c r="E36" s="447"/>
      <c r="F36" s="447"/>
      <c r="G36" s="447"/>
      <c r="H36" s="447">
        <f t="shared" si="115"/>
        <v>0</v>
      </c>
      <c r="I36" s="818" t="str">
        <f t="shared" si="116"/>
        <v>-</v>
      </c>
      <c r="J36" s="818" t="str">
        <f t="shared" si="117"/>
        <v>-</v>
      </c>
      <c r="K36" s="781">
        <f t="shared" si="118"/>
        <v>319</v>
      </c>
      <c r="L36" s="785">
        <f t="shared" si="119"/>
        <v>0</v>
      </c>
      <c r="M36" s="777">
        <f t="shared" si="120"/>
        <v>319</v>
      </c>
      <c r="N36" s="785"/>
      <c r="O36" s="793"/>
      <c r="P36" s="819" t="s">
        <v>67</v>
      </c>
      <c r="Q36" s="386">
        <f>BudgetedData!C18</f>
        <v>320</v>
      </c>
      <c r="R36" s="447"/>
      <c r="S36" s="447"/>
      <c r="T36" s="447"/>
      <c r="U36" s="447">
        <f t="shared" si="121"/>
        <v>0</v>
      </c>
      <c r="V36" s="818" t="str">
        <f t="shared" si="122"/>
        <v>-</v>
      </c>
      <c r="W36" s="818" t="str">
        <f t="shared" si="123"/>
        <v>-</v>
      </c>
      <c r="X36" s="781">
        <f t="shared" si="124"/>
        <v>320</v>
      </c>
      <c r="Y36" s="785">
        <f t="shared" si="125"/>
        <v>0</v>
      </c>
      <c r="Z36" s="777">
        <f t="shared" si="126"/>
        <v>320</v>
      </c>
      <c r="AA36" s="25"/>
      <c r="AB36" s="783"/>
      <c r="AC36" s="819" t="s">
        <v>67</v>
      </c>
      <c r="AD36" s="386">
        <f>BudgetedData!D18</f>
        <v>301</v>
      </c>
      <c r="AE36" s="447"/>
      <c r="AF36" s="447"/>
      <c r="AG36" s="447"/>
      <c r="AH36" s="447">
        <f t="shared" si="127"/>
        <v>0</v>
      </c>
      <c r="AI36" s="818" t="str">
        <f t="shared" si="128"/>
        <v>-</v>
      </c>
      <c r="AJ36" s="818" t="str">
        <f t="shared" si="129"/>
        <v>-</v>
      </c>
      <c r="AK36" s="781">
        <f t="shared" si="130"/>
        <v>301</v>
      </c>
      <c r="AL36" s="785">
        <f t="shared" si="131"/>
        <v>0</v>
      </c>
      <c r="AM36" s="777">
        <f t="shared" si="132"/>
        <v>301</v>
      </c>
      <c r="AN36" s="25"/>
      <c r="AO36" s="226"/>
      <c r="AP36" s="819" t="s">
        <v>67</v>
      </c>
      <c r="AQ36" s="386">
        <f>BudgetedData!E18</f>
        <v>313</v>
      </c>
      <c r="AR36" s="447"/>
      <c r="AS36" s="447"/>
      <c r="AT36" s="447"/>
      <c r="AU36" s="447">
        <f t="shared" si="133"/>
        <v>0</v>
      </c>
      <c r="AV36" s="818" t="str">
        <f t="shared" si="134"/>
        <v>-</v>
      </c>
      <c r="AW36" s="818" t="str">
        <f t="shared" si="135"/>
        <v>-</v>
      </c>
      <c r="AX36" s="781">
        <f t="shared" si="136"/>
        <v>313</v>
      </c>
      <c r="AY36" s="785">
        <f t="shared" si="137"/>
        <v>0</v>
      </c>
      <c r="AZ36" s="777">
        <f t="shared" si="138"/>
        <v>313</v>
      </c>
      <c r="BA36" s="772"/>
      <c r="BB36" s="786"/>
      <c r="BC36" s="819" t="s">
        <v>67</v>
      </c>
      <c r="BD36" s="386">
        <f>BudgetedData!F18</f>
        <v>302</v>
      </c>
      <c r="BE36" s="447"/>
      <c r="BF36" s="447"/>
      <c r="BG36" s="447"/>
      <c r="BH36" s="447">
        <f t="shared" si="139"/>
        <v>0</v>
      </c>
      <c r="BI36" s="818" t="str">
        <f t="shared" si="140"/>
        <v>-</v>
      </c>
      <c r="BJ36" s="818" t="str">
        <f t="shared" si="141"/>
        <v>-</v>
      </c>
      <c r="BK36" s="781">
        <f t="shared" si="142"/>
        <v>302</v>
      </c>
      <c r="BL36" s="785">
        <f t="shared" si="143"/>
        <v>0</v>
      </c>
      <c r="BM36" s="777">
        <f t="shared" si="144"/>
        <v>302</v>
      </c>
      <c r="BN36" s="25"/>
      <c r="BO36" s="787"/>
      <c r="BP36" s="819" t="s">
        <v>67</v>
      </c>
      <c r="BQ36" s="386">
        <f>BudgetedData!G18</f>
        <v>313</v>
      </c>
      <c r="BR36" s="447"/>
      <c r="BS36" s="447"/>
      <c r="BT36" s="447"/>
      <c r="BU36" s="447">
        <f t="shared" ref="BU36" si="186">+BR36+BS36-BT36</f>
        <v>0</v>
      </c>
      <c r="BV36" s="818" t="str">
        <f t="shared" si="145"/>
        <v>-</v>
      </c>
      <c r="BW36" s="818" t="str">
        <f t="shared" si="146"/>
        <v>-</v>
      </c>
      <c r="BX36" s="781">
        <f t="shared" si="147"/>
        <v>313</v>
      </c>
      <c r="BY36" s="785">
        <f t="shared" si="148"/>
        <v>0</v>
      </c>
      <c r="BZ36" s="777">
        <f t="shared" si="149"/>
        <v>313</v>
      </c>
      <c r="CA36" s="25"/>
      <c r="CB36" s="794"/>
      <c r="CC36" s="819" t="s">
        <v>67</v>
      </c>
      <c r="CD36" s="386">
        <f>BudgetedData!H18</f>
        <v>313</v>
      </c>
      <c r="CE36" s="447"/>
      <c r="CF36" s="447"/>
      <c r="CG36" s="447"/>
      <c r="CH36" s="447">
        <f t="shared" si="150"/>
        <v>0</v>
      </c>
      <c r="CI36" s="818" t="str">
        <f t="shared" si="151"/>
        <v>-</v>
      </c>
      <c r="CJ36" s="818" t="str">
        <f t="shared" si="152"/>
        <v>-</v>
      </c>
      <c r="CK36" s="781">
        <f t="shared" si="153"/>
        <v>313</v>
      </c>
      <c r="CL36" s="785">
        <f t="shared" si="154"/>
        <v>0</v>
      </c>
      <c r="CM36" s="777">
        <f t="shared" si="155"/>
        <v>313</v>
      </c>
      <c r="CN36" s="211"/>
      <c r="CO36" s="227"/>
      <c r="CP36" s="819" t="s">
        <v>67</v>
      </c>
      <c r="CQ36" s="386">
        <f>BudgetedData!I18</f>
        <v>296</v>
      </c>
      <c r="CR36" s="447"/>
      <c r="CS36" s="447"/>
      <c r="CT36" s="447"/>
      <c r="CU36" s="447">
        <f t="shared" si="156"/>
        <v>0</v>
      </c>
      <c r="CV36" s="818" t="str">
        <f t="shared" si="157"/>
        <v>-</v>
      </c>
      <c r="CW36" s="818" t="str">
        <f t="shared" si="158"/>
        <v>-</v>
      </c>
      <c r="CX36" s="781">
        <f t="shared" si="159"/>
        <v>296</v>
      </c>
      <c r="CY36" s="785">
        <f t="shared" si="160"/>
        <v>0</v>
      </c>
      <c r="CZ36" s="777">
        <f t="shared" si="161"/>
        <v>296</v>
      </c>
      <c r="DA36" s="211"/>
      <c r="DB36" s="379"/>
      <c r="DC36" s="819" t="s">
        <v>67</v>
      </c>
      <c r="DD36" s="386">
        <f>BudgetedData!J18</f>
        <v>319</v>
      </c>
      <c r="DE36" s="447"/>
      <c r="DF36" s="447"/>
      <c r="DG36" s="447"/>
      <c r="DH36" s="447">
        <f t="shared" si="162"/>
        <v>0</v>
      </c>
      <c r="DI36" s="818" t="str">
        <f t="shared" si="163"/>
        <v>-</v>
      </c>
      <c r="DJ36" s="818" t="str">
        <f t="shared" si="164"/>
        <v>-</v>
      </c>
      <c r="DK36" s="781">
        <f>DD36-DE36</f>
        <v>319</v>
      </c>
      <c r="DL36" s="785">
        <f>DE36-DH36</f>
        <v>0</v>
      </c>
      <c r="DM36" s="777">
        <f>DD36-DH36</f>
        <v>319</v>
      </c>
      <c r="DN36" s="211"/>
      <c r="DO36" s="228"/>
      <c r="DP36" s="819" t="s">
        <v>67</v>
      </c>
      <c r="DQ36" s="386">
        <f>BudgetedData!K18</f>
        <v>313</v>
      </c>
      <c r="DR36" s="447"/>
      <c r="DS36" s="447"/>
      <c r="DT36" s="447"/>
      <c r="DU36" s="447">
        <f t="shared" si="168"/>
        <v>0</v>
      </c>
      <c r="DV36" s="818" t="str">
        <f t="shared" si="169"/>
        <v>-</v>
      </c>
      <c r="DW36" s="818" t="str">
        <f t="shared" si="170"/>
        <v>-</v>
      </c>
      <c r="DX36" s="781">
        <f>DQ36-DR36</f>
        <v>313</v>
      </c>
      <c r="DY36" s="785">
        <f>DR36-DU36</f>
        <v>0</v>
      </c>
      <c r="DZ36" s="777">
        <f>DQ36-DU36</f>
        <v>313</v>
      </c>
      <c r="EA36" s="25"/>
      <c r="EB36" s="229"/>
      <c r="EC36" s="819" t="s">
        <v>67</v>
      </c>
      <c r="ED36" s="386">
        <f>BudgetedData!L18</f>
        <v>308</v>
      </c>
      <c r="EE36" s="447"/>
      <c r="EF36" s="447"/>
      <c r="EG36" s="447"/>
      <c r="EH36" s="447">
        <f t="shared" si="174"/>
        <v>0</v>
      </c>
      <c r="EI36" s="818" t="str">
        <f t="shared" si="175"/>
        <v>-</v>
      </c>
      <c r="EJ36" s="818" t="str">
        <f t="shared" si="176"/>
        <v>-</v>
      </c>
      <c r="EK36" s="781">
        <f t="shared" si="177"/>
        <v>308</v>
      </c>
      <c r="EL36" s="785">
        <f t="shared" si="178"/>
        <v>0</v>
      </c>
      <c r="EM36" s="777">
        <f t="shared" si="179"/>
        <v>308</v>
      </c>
      <c r="EN36" s="785"/>
      <c r="EO36" s="230"/>
      <c r="EP36" s="819" t="s">
        <v>67</v>
      </c>
      <c r="EQ36" s="386">
        <f>BudgetedData!M18</f>
        <v>313</v>
      </c>
      <c r="ER36" s="447"/>
      <c r="ES36" s="447"/>
      <c r="ET36" s="447"/>
      <c r="EU36" s="447">
        <f t="shared" si="180"/>
        <v>0</v>
      </c>
      <c r="EV36" s="818" t="str">
        <f t="shared" si="181"/>
        <v>-</v>
      </c>
      <c r="EW36" s="818" t="str">
        <f t="shared" si="182"/>
        <v>-</v>
      </c>
      <c r="EX36" s="781">
        <f t="shared" si="183"/>
        <v>313</v>
      </c>
      <c r="EY36" s="785">
        <f t="shared" si="184"/>
        <v>0</v>
      </c>
      <c r="EZ36" s="777">
        <f t="shared" si="185"/>
        <v>313</v>
      </c>
      <c r="FA36" s="25"/>
      <c r="FB36" s="25"/>
      <c r="FC36" s="785"/>
      <c r="FD36" s="25"/>
      <c r="FE36" s="211"/>
      <c r="FF36" s="211"/>
      <c r="FG36" s="25"/>
      <c r="FH36" s="25"/>
      <c r="FI36" s="25"/>
      <c r="FJ36" s="25"/>
    </row>
    <row r="37" spans="1:166" s="208" customFormat="1" ht="13.5" thickBot="1">
      <c r="A37" s="777"/>
      <c r="B37" s="778"/>
      <c r="C37" s="819"/>
      <c r="D37" s="386"/>
      <c r="E37" s="447"/>
      <c r="F37" s="447"/>
      <c r="G37" s="447"/>
      <c r="H37" s="447"/>
      <c r="I37" s="818"/>
      <c r="J37" s="818"/>
      <c r="K37" s="781"/>
      <c r="L37" s="785"/>
      <c r="M37" s="777"/>
      <c r="N37" s="785"/>
      <c r="O37" s="793"/>
      <c r="P37" s="819"/>
      <c r="Q37" s="386"/>
      <c r="R37" s="447"/>
      <c r="S37" s="447"/>
      <c r="T37" s="447"/>
      <c r="U37" s="447"/>
      <c r="V37" s="818"/>
      <c r="W37" s="818"/>
      <c r="X37" s="781"/>
      <c r="Y37" s="785"/>
      <c r="Z37" s="777"/>
      <c r="AA37" s="25"/>
      <c r="AB37" s="783"/>
      <c r="AC37" s="819"/>
      <c r="AD37" s="386"/>
      <c r="AE37" s="447"/>
      <c r="AF37" s="447"/>
      <c r="AG37" s="447"/>
      <c r="AH37" s="447"/>
      <c r="AI37" s="818"/>
      <c r="AJ37" s="818"/>
      <c r="AK37" s="781"/>
      <c r="AL37" s="785"/>
      <c r="AM37" s="777"/>
      <c r="AN37" s="25"/>
      <c r="AO37" s="226"/>
      <c r="AP37" s="819"/>
      <c r="AQ37" s="386"/>
      <c r="AR37" s="447"/>
      <c r="AS37" s="447"/>
      <c r="AT37" s="447"/>
      <c r="AU37" s="447"/>
      <c r="AV37" s="818"/>
      <c r="AW37" s="818"/>
      <c r="AX37" s="781"/>
      <c r="AY37" s="785"/>
      <c r="AZ37" s="777"/>
      <c r="BA37" s="772"/>
      <c r="BB37" s="786"/>
      <c r="BC37" s="819"/>
      <c r="BD37" s="386"/>
      <c r="BE37" s="447"/>
      <c r="BF37" s="447"/>
      <c r="BG37" s="447"/>
      <c r="BH37" s="447"/>
      <c r="BI37" s="818"/>
      <c r="BJ37" s="818"/>
      <c r="BK37" s="781"/>
      <c r="BL37" s="785"/>
      <c r="BM37" s="777"/>
      <c r="BN37" s="25"/>
      <c r="BO37" s="787"/>
      <c r="BP37" s="819"/>
      <c r="BQ37" s="386"/>
      <c r="BR37" s="447"/>
      <c r="BS37" s="447"/>
      <c r="BT37" s="447"/>
      <c r="BU37" s="447"/>
      <c r="BV37" s="818"/>
      <c r="BW37" s="818"/>
      <c r="BX37" s="781"/>
      <c r="BY37" s="785"/>
      <c r="BZ37" s="777"/>
      <c r="CA37" s="25"/>
      <c r="CB37" s="794"/>
      <c r="CC37" s="819"/>
      <c r="CD37" s="386"/>
      <c r="CE37" s="447"/>
      <c r="CF37" s="447"/>
      <c r="CG37" s="447"/>
      <c r="CH37" s="447"/>
      <c r="CI37" s="818"/>
      <c r="CJ37" s="818"/>
      <c r="CK37" s="781"/>
      <c r="CL37" s="785"/>
      <c r="CM37" s="777"/>
      <c r="CN37" s="211"/>
      <c r="CO37" s="227"/>
      <c r="CP37" s="819"/>
      <c r="CQ37" s="386"/>
      <c r="CR37" s="447"/>
      <c r="CS37" s="447"/>
      <c r="CT37" s="447"/>
      <c r="CU37" s="447"/>
      <c r="CV37" s="818"/>
      <c r="CW37" s="818"/>
      <c r="CX37" s="781"/>
      <c r="CY37" s="785"/>
      <c r="CZ37" s="777"/>
      <c r="DA37" s="211"/>
      <c r="DB37" s="379"/>
      <c r="DC37" s="819"/>
      <c r="DD37" s="386"/>
      <c r="DE37" s="447"/>
      <c r="DF37" s="447"/>
      <c r="DG37" s="447"/>
      <c r="DH37" s="447"/>
      <c r="DI37" s="818"/>
      <c r="DJ37" s="818"/>
      <c r="DK37" s="781"/>
      <c r="DL37" s="785"/>
      <c r="DM37" s="777"/>
      <c r="DN37" s="211"/>
      <c r="DO37" s="228"/>
      <c r="DP37" s="819"/>
      <c r="DQ37" s="386"/>
      <c r="DR37" s="447"/>
      <c r="DS37" s="447"/>
      <c r="DT37" s="447"/>
      <c r="DU37" s="447"/>
      <c r="DV37" s="818"/>
      <c r="DW37" s="818"/>
      <c r="DX37" s="781"/>
      <c r="DY37" s="785"/>
      <c r="DZ37" s="777"/>
      <c r="EA37" s="25"/>
      <c r="EB37" s="229"/>
      <c r="EC37" s="819"/>
      <c r="ED37" s="386"/>
      <c r="EE37" s="447"/>
      <c r="EF37" s="447"/>
      <c r="EG37" s="447"/>
      <c r="EH37" s="447"/>
      <c r="EI37" s="818"/>
      <c r="EJ37" s="818"/>
      <c r="EK37" s="781"/>
      <c r="EL37" s="785"/>
      <c r="EM37" s="777"/>
      <c r="EN37" s="785"/>
      <c r="EO37" s="230"/>
      <c r="EP37" s="819"/>
      <c r="EQ37" s="386"/>
      <c r="ER37" s="447"/>
      <c r="ES37" s="447"/>
      <c r="ET37" s="447"/>
      <c r="EU37" s="447"/>
      <c r="EV37" s="818"/>
      <c r="EW37" s="818"/>
      <c r="EX37" s="781"/>
      <c r="EY37" s="785"/>
      <c r="EZ37" s="777"/>
      <c r="FA37" s="25"/>
      <c r="FB37" s="25"/>
      <c r="FC37" s="785"/>
      <c r="FD37" s="25"/>
      <c r="FE37" s="211"/>
      <c r="FF37" s="211"/>
      <c r="FG37" s="25"/>
      <c r="FH37" s="25"/>
      <c r="FI37" s="25"/>
      <c r="FJ37" s="25"/>
    </row>
    <row r="38" spans="1:166" s="208" customFormat="1" ht="14.25" thickTop="1" thickBot="1">
      <c r="A38" s="777"/>
      <c r="B38" s="797"/>
      <c r="C38" s="358" t="s">
        <v>57</v>
      </c>
      <c r="D38" s="392">
        <f>SUM(D31:D36)</f>
        <v>43962.04</v>
      </c>
      <c r="E38" s="392">
        <f t="shared" ref="E38:H38" si="187">SUM(E31:E36)</f>
        <v>41360.1</v>
      </c>
      <c r="F38" s="392">
        <f t="shared" si="187"/>
        <v>0</v>
      </c>
      <c r="G38" s="392">
        <f t="shared" si="187"/>
        <v>242.8</v>
      </c>
      <c r="H38" s="392">
        <f t="shared" si="187"/>
        <v>41117.300000000003</v>
      </c>
      <c r="I38" s="362">
        <f t="shared" ref="I38" si="188">IF(E38=0,"-",H38/E38)</f>
        <v>0.9941296080038492</v>
      </c>
      <c r="J38" s="362">
        <f>IF(ISERROR(G38/E38),"-",G38/E38)</f>
        <v>5.8703919961508805E-3</v>
      </c>
      <c r="K38" s="274">
        <f t="shared" ref="K38" si="189">D38-E38</f>
        <v>2601.9400000000023</v>
      </c>
      <c r="L38" s="269">
        <f t="shared" ref="L38" si="190">E38-H38</f>
        <v>242.79999999999563</v>
      </c>
      <c r="M38" s="270">
        <f t="shared" ref="M38" si="191">D38-H38</f>
        <v>2844.739999999998</v>
      </c>
      <c r="N38" s="785"/>
      <c r="O38" s="798"/>
      <c r="P38" s="358" t="s">
        <v>57</v>
      </c>
      <c r="Q38" s="392">
        <f>SUM(Q31:Q36)</f>
        <v>44119.360000000001</v>
      </c>
      <c r="R38" s="392">
        <f t="shared" ref="R38:U38" si="192">SUM(R31:R36)</f>
        <v>41527.4</v>
      </c>
      <c r="S38" s="392">
        <f t="shared" si="192"/>
        <v>0</v>
      </c>
      <c r="T38" s="392">
        <f t="shared" si="192"/>
        <v>157.5</v>
      </c>
      <c r="U38" s="392">
        <f t="shared" si="192"/>
        <v>41369.9</v>
      </c>
      <c r="V38" s="362">
        <f t="shared" ref="V38" si="193">IF(R38=0,"-",U38/R38)</f>
        <v>0.99620732335759044</v>
      </c>
      <c r="W38" s="362">
        <f>IF(ISERROR(T38/R38),"-",T38/R38)</f>
        <v>3.7926766424095895E-3</v>
      </c>
      <c r="X38" s="274">
        <f t="shared" ref="X38" si="194">Q38-R38</f>
        <v>2591.9599999999991</v>
      </c>
      <c r="Y38" s="269">
        <f t="shared" ref="Y38" si="195">R38-U38</f>
        <v>157.5</v>
      </c>
      <c r="Z38" s="270">
        <f t="shared" ref="Z38" si="196">Q38-U38</f>
        <v>2749.4599999999991</v>
      </c>
      <c r="AA38" s="25"/>
      <c r="AB38" s="799"/>
      <c r="AC38" s="358" t="s">
        <v>57</v>
      </c>
      <c r="AD38" s="392">
        <f>SUM(AD31:AD36)</f>
        <v>41503.25</v>
      </c>
      <c r="AE38" s="392">
        <f t="shared" ref="AE38:AH38" si="197">SUM(AE31:AE36)</f>
        <v>39131.4</v>
      </c>
      <c r="AF38" s="392">
        <f t="shared" si="197"/>
        <v>0</v>
      </c>
      <c r="AG38" s="392">
        <f t="shared" si="197"/>
        <v>119</v>
      </c>
      <c r="AH38" s="392">
        <f t="shared" si="197"/>
        <v>39012.400000000001</v>
      </c>
      <c r="AI38" s="362">
        <f t="shared" ref="AI38" si="198">IF(AE38=0,"-",AH38/AE38)</f>
        <v>0.99695896390111272</v>
      </c>
      <c r="AJ38" s="362">
        <f>IF(ISERROR(AG38/AE38),"-",AG38/AE38)</f>
        <v>3.0410360988873384E-3</v>
      </c>
      <c r="AK38" s="274">
        <f t="shared" si="130"/>
        <v>2371.8499999999985</v>
      </c>
      <c r="AL38" s="269">
        <f t="shared" si="131"/>
        <v>119</v>
      </c>
      <c r="AM38" s="270">
        <f t="shared" si="132"/>
        <v>2490.8499999999985</v>
      </c>
      <c r="AN38" s="25"/>
      <c r="AO38" s="231"/>
      <c r="AP38" s="358" t="s">
        <v>57</v>
      </c>
      <c r="AQ38" s="392">
        <f>SUM(AQ31:AQ36)</f>
        <v>43139.1</v>
      </c>
      <c r="AR38" s="392">
        <f t="shared" ref="AR38:AU38" si="199">SUM(AR31:AR36)</f>
        <v>42135.5</v>
      </c>
      <c r="AS38" s="392">
        <f t="shared" si="199"/>
        <v>0</v>
      </c>
      <c r="AT38" s="392">
        <f t="shared" si="199"/>
        <v>151.5</v>
      </c>
      <c r="AU38" s="392">
        <f t="shared" si="199"/>
        <v>41984</v>
      </c>
      <c r="AV38" s="362">
        <f t="shared" si="134"/>
        <v>0.99640445704928149</v>
      </c>
      <c r="AW38" s="362">
        <f>IF(ISERROR(AT38/AR38),"-",AT38/AR38)</f>
        <v>3.5955429507185154E-3</v>
      </c>
      <c r="AX38" s="274">
        <f t="shared" si="136"/>
        <v>1003.5999999999985</v>
      </c>
      <c r="AY38" s="269">
        <f t="shared" si="137"/>
        <v>151.5</v>
      </c>
      <c r="AZ38" s="270">
        <f t="shared" si="138"/>
        <v>1155.0999999999985</v>
      </c>
      <c r="BA38" s="116"/>
      <c r="BB38" s="375"/>
      <c r="BC38" s="358" t="s">
        <v>57</v>
      </c>
      <c r="BD38" s="392">
        <f>SUM(BD31:BD36)</f>
        <v>41659.570000000007</v>
      </c>
      <c r="BE38" s="392">
        <f t="shared" ref="BE38:BH38" si="200">SUM(BE31:BE36)</f>
        <v>0</v>
      </c>
      <c r="BF38" s="392">
        <f t="shared" si="200"/>
        <v>0</v>
      </c>
      <c r="BG38" s="392">
        <f t="shared" si="200"/>
        <v>0</v>
      </c>
      <c r="BH38" s="392">
        <f t="shared" si="200"/>
        <v>0</v>
      </c>
      <c r="BI38" s="362" t="str">
        <f t="shared" ref="BI38" si="201">IF(BE38=0,"-",BH38/BE38)</f>
        <v>-</v>
      </c>
      <c r="BJ38" s="362" t="str">
        <f>IF(ISERROR(BG38/BE38),"-",BG38/BE38)</f>
        <v>-</v>
      </c>
      <c r="BK38" s="274">
        <f t="shared" ref="BK38" si="202">BD38-BE38</f>
        <v>41659.570000000007</v>
      </c>
      <c r="BL38" s="269">
        <f t="shared" ref="BL38" si="203">BE38-BH38</f>
        <v>0</v>
      </c>
      <c r="BM38" s="270">
        <f t="shared" ref="BM38" si="204">BD38-BH38</f>
        <v>41659.570000000007</v>
      </c>
      <c r="BN38" s="25"/>
      <c r="BO38" s="801"/>
      <c r="BP38" s="358" t="s">
        <v>57</v>
      </c>
      <c r="BQ38" s="392">
        <f>SUM(BQ31:BQ36)</f>
        <v>43139.1</v>
      </c>
      <c r="BR38" s="392">
        <f t="shared" ref="BR38:BU38" si="205">SUM(BR31:BR36)</f>
        <v>0</v>
      </c>
      <c r="BS38" s="392">
        <f t="shared" si="205"/>
        <v>0</v>
      </c>
      <c r="BT38" s="392">
        <f t="shared" si="205"/>
        <v>0</v>
      </c>
      <c r="BU38" s="392">
        <f t="shared" si="205"/>
        <v>0</v>
      </c>
      <c r="BV38" s="362" t="str">
        <f t="shared" ref="BV38" si="206">IF(BR38=0,"-",BU38/BR38)</f>
        <v>-</v>
      </c>
      <c r="BW38" s="362" t="str">
        <f>IF(ISERROR(BT38/BR38),"-",BT38/BR38)</f>
        <v>-</v>
      </c>
      <c r="BX38" s="274">
        <f t="shared" ref="BX38" si="207">BQ38-BR38</f>
        <v>43139.1</v>
      </c>
      <c r="BY38" s="269">
        <f t="shared" ref="BY38" si="208">BR38-BU38</f>
        <v>0</v>
      </c>
      <c r="BZ38" s="270">
        <f t="shared" ref="BZ38" si="209">BQ38-BU38</f>
        <v>43139.1</v>
      </c>
      <c r="CA38" s="25"/>
      <c r="CB38" s="802"/>
      <c r="CC38" s="358" t="s">
        <v>57</v>
      </c>
      <c r="CD38" s="392">
        <f>SUM(CD31:CD36)</f>
        <v>43139.1</v>
      </c>
      <c r="CE38" s="392">
        <f t="shared" ref="CE38:CH38" si="210">SUM(CE31:CE36)</f>
        <v>0</v>
      </c>
      <c r="CF38" s="392">
        <f t="shared" si="210"/>
        <v>0</v>
      </c>
      <c r="CG38" s="392">
        <f t="shared" si="210"/>
        <v>0</v>
      </c>
      <c r="CH38" s="392">
        <f t="shared" si="210"/>
        <v>0</v>
      </c>
      <c r="CI38" s="362" t="str">
        <f t="shared" ref="CI38" si="211">IF(CE38=0,"-",CH38/CE38)</f>
        <v>-</v>
      </c>
      <c r="CJ38" s="362" t="str">
        <f>IF(ISERROR(CG38/CE38),"-",CG38/CE38)</f>
        <v>-</v>
      </c>
      <c r="CK38" s="274">
        <f t="shared" ref="CK38" si="212">CD38-CE38</f>
        <v>43139.1</v>
      </c>
      <c r="CL38" s="269">
        <f t="shared" ref="CL38" si="213">CE38-CH38</f>
        <v>0</v>
      </c>
      <c r="CM38" s="270">
        <f t="shared" ref="CM38" si="214">CD38-CH38</f>
        <v>43139.1</v>
      </c>
      <c r="CN38" s="211"/>
      <c r="CO38" s="233"/>
      <c r="CP38" s="358" t="s">
        <v>57</v>
      </c>
      <c r="CQ38" s="392">
        <f>SUM(CQ31:CQ36)</f>
        <v>40845.68</v>
      </c>
      <c r="CR38" s="392">
        <f t="shared" ref="CR38:CU38" si="215">SUM(CR31:CR36)</f>
        <v>0</v>
      </c>
      <c r="CS38" s="392">
        <f t="shared" si="215"/>
        <v>0</v>
      </c>
      <c r="CT38" s="392">
        <f t="shared" si="215"/>
        <v>0</v>
      </c>
      <c r="CU38" s="392">
        <f t="shared" si="215"/>
        <v>0</v>
      </c>
      <c r="CV38" s="362" t="str">
        <f t="shared" ref="CV38" si="216">IF(CR38=0,"-",CU38/CR38)</f>
        <v>-</v>
      </c>
      <c r="CW38" s="362" t="str">
        <f>IF(ISERROR(CT38/CR38),"-",CT38/CR38)</f>
        <v>-</v>
      </c>
      <c r="CX38" s="274">
        <f t="shared" ref="CX38" si="217">CQ38-CR38</f>
        <v>40845.68</v>
      </c>
      <c r="CY38" s="269">
        <f t="shared" ref="CY38" si="218">CR38-CU38</f>
        <v>0</v>
      </c>
      <c r="CZ38" s="270">
        <f t="shared" ref="CZ38" si="219">CQ38-CU38</f>
        <v>40845.68</v>
      </c>
      <c r="DA38" s="211"/>
      <c r="DB38" s="380"/>
      <c r="DC38" s="358" t="s">
        <v>57</v>
      </c>
      <c r="DD38" s="392">
        <f>SUM(DD31:DD36)</f>
        <v>43962.04</v>
      </c>
      <c r="DE38" s="392">
        <f t="shared" ref="DE38:DH38" si="220">SUM(DE31:DE36)</f>
        <v>0</v>
      </c>
      <c r="DF38" s="392">
        <f t="shared" si="220"/>
        <v>0</v>
      </c>
      <c r="DG38" s="392">
        <f t="shared" si="220"/>
        <v>0</v>
      </c>
      <c r="DH38" s="392">
        <f t="shared" si="220"/>
        <v>0</v>
      </c>
      <c r="DI38" s="362" t="str">
        <f t="shared" ref="DI38" si="221">IF(DE38=0,"-",DH38/DE38)</f>
        <v>-</v>
      </c>
      <c r="DJ38" s="362" t="str">
        <f>IF(ISERROR(DG38/DE38),"-",DG38/DE38)</f>
        <v>-</v>
      </c>
      <c r="DK38" s="274">
        <f t="shared" si="165"/>
        <v>43962.04</v>
      </c>
      <c r="DL38" s="269">
        <f t="shared" si="166"/>
        <v>0</v>
      </c>
      <c r="DM38" s="270">
        <f t="shared" si="167"/>
        <v>43962.04</v>
      </c>
      <c r="DN38" s="211"/>
      <c r="DO38" s="234"/>
      <c r="DP38" s="358" t="s">
        <v>57</v>
      </c>
      <c r="DQ38" s="392">
        <f>SUM(DQ31:DQ36)</f>
        <v>43149.13</v>
      </c>
      <c r="DR38" s="392">
        <f t="shared" ref="DR38:DU38" si="222">SUM(DR31:DR36)</f>
        <v>0</v>
      </c>
      <c r="DS38" s="392">
        <f t="shared" si="222"/>
        <v>0</v>
      </c>
      <c r="DT38" s="392">
        <f t="shared" si="222"/>
        <v>0</v>
      </c>
      <c r="DU38" s="392">
        <f t="shared" si="222"/>
        <v>0</v>
      </c>
      <c r="DV38" s="362" t="str">
        <f t="shared" ref="DV38" si="223">IF(DR38=0,"-",DU38/DR38)</f>
        <v>-</v>
      </c>
      <c r="DW38" s="362" t="str">
        <f>IF(ISERROR(DT38/DR38),"-",DT38/DR38)</f>
        <v>-</v>
      </c>
      <c r="DX38" s="274">
        <f t="shared" si="171"/>
        <v>43149.13</v>
      </c>
      <c r="DY38" s="269">
        <f t="shared" si="172"/>
        <v>0</v>
      </c>
      <c r="DZ38" s="270">
        <f t="shared" si="173"/>
        <v>43149.13</v>
      </c>
      <c r="EA38" s="25"/>
      <c r="EB38" s="235"/>
      <c r="EC38" s="358" t="s">
        <v>57</v>
      </c>
      <c r="ED38" s="392">
        <f>SUM(ED31:ED36)</f>
        <v>42474.479999999996</v>
      </c>
      <c r="EE38" s="392">
        <f t="shared" ref="EE38:EH38" si="224">SUM(EE31:EE36)</f>
        <v>0</v>
      </c>
      <c r="EF38" s="392">
        <f t="shared" si="224"/>
        <v>0</v>
      </c>
      <c r="EG38" s="392">
        <f t="shared" si="224"/>
        <v>0</v>
      </c>
      <c r="EH38" s="392">
        <f t="shared" si="224"/>
        <v>0</v>
      </c>
      <c r="EI38" s="362" t="str">
        <f t="shared" ref="EI38" si="225">IF(EE38=0,"-",EH38/EE38)</f>
        <v>-</v>
      </c>
      <c r="EJ38" s="362" t="str">
        <f>IF(ISERROR(EG38/EE38),"-",EG38/EE38)</f>
        <v>-</v>
      </c>
      <c r="EK38" s="274">
        <f t="shared" ref="EK38" si="226">ED38-EE38</f>
        <v>42474.479999999996</v>
      </c>
      <c r="EL38" s="269">
        <f t="shared" ref="EL38" si="227">EE38-EH38</f>
        <v>0</v>
      </c>
      <c r="EM38" s="270">
        <f t="shared" ref="EM38" si="228">ED38-EH38</f>
        <v>42474.479999999996</v>
      </c>
      <c r="EN38" s="785"/>
      <c r="EO38" s="236"/>
      <c r="EP38" s="358" t="s">
        <v>57</v>
      </c>
      <c r="EQ38" s="392">
        <f>SUM(EQ31:EQ36)</f>
        <v>43149.13</v>
      </c>
      <c r="ER38" s="392">
        <f t="shared" ref="ER38:EU38" si="229">SUM(ER31:ER36)</f>
        <v>0</v>
      </c>
      <c r="ES38" s="392">
        <f t="shared" si="229"/>
        <v>0</v>
      </c>
      <c r="ET38" s="392">
        <f t="shared" si="229"/>
        <v>0</v>
      </c>
      <c r="EU38" s="392">
        <f t="shared" si="229"/>
        <v>0</v>
      </c>
      <c r="EV38" s="362" t="str">
        <f t="shared" ref="EV38" si="230">IF(ER38=0,"-",EU38/ER38)</f>
        <v>-</v>
      </c>
      <c r="EW38" s="362" t="str">
        <f>IF(ISERROR(ET38/ER38),"-",ET38/ER38)</f>
        <v>-</v>
      </c>
      <c r="EX38" s="274">
        <f t="shared" ref="EX38" si="231">EQ38-ER38</f>
        <v>43149.13</v>
      </c>
      <c r="EY38" s="269">
        <f t="shared" ref="EY38" si="232">ER38-EU38</f>
        <v>0</v>
      </c>
      <c r="EZ38" s="270">
        <f t="shared" ref="EZ38" si="233">EQ38-EU38</f>
        <v>43149.13</v>
      </c>
      <c r="FA38" s="25"/>
      <c r="FB38" s="25"/>
      <c r="FC38" s="785"/>
      <c r="FD38" s="25"/>
      <c r="FE38" s="211"/>
      <c r="FF38" s="211"/>
      <c r="FG38" s="25"/>
      <c r="FH38" s="25"/>
      <c r="FI38" s="25"/>
      <c r="FJ38" s="25"/>
    </row>
    <row r="39" spans="1:166" s="208" customFormat="1" ht="13.5" thickBot="1">
      <c r="A39" s="785"/>
      <c r="B39" s="813"/>
      <c r="C39" s="237" t="s">
        <v>68</v>
      </c>
      <c r="D39" s="393"/>
      <c r="E39" s="237"/>
      <c r="F39" s="237"/>
      <c r="G39" s="216"/>
      <c r="H39" s="402"/>
      <c r="I39" s="363"/>
      <c r="J39" s="363"/>
      <c r="K39" s="273"/>
      <c r="L39" s="273"/>
      <c r="M39" s="273"/>
      <c r="N39" s="785"/>
      <c r="O39" s="813"/>
      <c r="P39" s="237" t="s">
        <v>68</v>
      </c>
      <c r="Q39" s="213"/>
      <c r="R39" s="237"/>
      <c r="S39" s="237"/>
      <c r="T39" s="216"/>
      <c r="U39" s="213"/>
      <c r="V39" s="363"/>
      <c r="W39" s="363"/>
      <c r="X39" s="273"/>
      <c r="Y39" s="273"/>
      <c r="Z39" s="273"/>
      <c r="AA39" s="25"/>
      <c r="AB39" s="785"/>
      <c r="AC39" s="237" t="s">
        <v>68</v>
      </c>
      <c r="AD39" s="213"/>
      <c r="AE39" s="237"/>
      <c r="AF39" s="237"/>
      <c r="AG39" s="216"/>
      <c r="AH39" s="213"/>
      <c r="AI39" s="363"/>
      <c r="AJ39" s="363"/>
      <c r="AK39" s="273"/>
      <c r="AL39" s="273"/>
      <c r="AM39" s="273"/>
      <c r="AN39" s="25"/>
      <c r="AO39" s="25"/>
      <c r="AP39" s="237" t="s">
        <v>69</v>
      </c>
      <c r="AQ39" s="213"/>
      <c r="AR39" s="237"/>
      <c r="AS39" s="237"/>
      <c r="AT39" s="216"/>
      <c r="AU39" s="213"/>
      <c r="AV39" s="363"/>
      <c r="AW39" s="363"/>
      <c r="AX39" s="273"/>
      <c r="AY39" s="273"/>
      <c r="AZ39" s="273"/>
      <c r="BA39" s="25"/>
      <c r="BB39" s="116"/>
      <c r="BC39" s="237" t="s">
        <v>69</v>
      </c>
      <c r="BD39" s="213"/>
      <c r="BE39" s="237"/>
      <c r="BF39" s="237"/>
      <c r="BG39" s="216"/>
      <c r="BH39" s="213"/>
      <c r="BI39" s="363"/>
      <c r="BJ39" s="363"/>
      <c r="BK39" s="273"/>
      <c r="BL39" s="273"/>
      <c r="BM39" s="273"/>
      <c r="BN39" s="25"/>
      <c r="BO39" s="25"/>
      <c r="BP39" s="237" t="s">
        <v>70</v>
      </c>
      <c r="BQ39" s="213"/>
      <c r="BR39" s="237"/>
      <c r="BS39" s="237"/>
      <c r="BT39" s="216"/>
      <c r="BU39" s="213"/>
      <c r="BV39" s="363"/>
      <c r="BW39" s="363"/>
      <c r="BX39" s="273"/>
      <c r="BY39" s="273"/>
      <c r="BZ39" s="273"/>
      <c r="CA39" s="25"/>
      <c r="CB39" s="25"/>
      <c r="CC39" s="237" t="s">
        <v>71</v>
      </c>
      <c r="CD39" s="213"/>
      <c r="CE39" s="237"/>
      <c r="CF39" s="237"/>
      <c r="CG39" s="216"/>
      <c r="CH39" s="213"/>
      <c r="CI39" s="363"/>
      <c r="CJ39" s="363"/>
      <c r="CK39" s="273"/>
      <c r="CL39" s="273"/>
      <c r="CM39" s="273"/>
      <c r="CN39" s="211"/>
      <c r="CO39" s="25"/>
      <c r="CP39" s="237" t="s">
        <v>72</v>
      </c>
      <c r="CQ39" s="213"/>
      <c r="CR39" s="237"/>
      <c r="CS39" s="237"/>
      <c r="CT39" s="216"/>
      <c r="CU39" s="213"/>
      <c r="CV39" s="363"/>
      <c r="CW39" s="363"/>
      <c r="CX39" s="273"/>
      <c r="CY39" s="273"/>
      <c r="CZ39" s="273"/>
      <c r="DA39" s="211"/>
      <c r="DB39" s="211"/>
      <c r="DC39" s="237" t="s">
        <v>72</v>
      </c>
      <c r="DD39" s="213"/>
      <c r="DE39" s="237"/>
      <c r="DF39" s="237"/>
      <c r="DG39" s="216"/>
      <c r="DH39" s="213"/>
      <c r="DI39" s="363"/>
      <c r="DJ39" s="363"/>
      <c r="DK39" s="273"/>
      <c r="DL39" s="273"/>
      <c r="DM39" s="273"/>
      <c r="DN39" s="25"/>
      <c r="DO39" s="211"/>
      <c r="DP39" s="237" t="s">
        <v>72</v>
      </c>
      <c r="DQ39" s="213"/>
      <c r="DR39" s="237"/>
      <c r="DS39" s="237"/>
      <c r="DT39" s="216"/>
      <c r="DU39" s="213"/>
      <c r="DV39" s="363"/>
      <c r="DW39" s="363"/>
      <c r="DX39" s="273"/>
      <c r="DY39" s="273"/>
      <c r="DZ39" s="273"/>
      <c r="EA39" s="785"/>
      <c r="EB39" s="25"/>
      <c r="EC39" s="237" t="s">
        <v>72</v>
      </c>
      <c r="ED39" s="213"/>
      <c r="EE39" s="237"/>
      <c r="EF39" s="237"/>
      <c r="EG39" s="216"/>
      <c r="EH39" s="213"/>
      <c r="EI39" s="363"/>
      <c r="EJ39" s="363"/>
      <c r="EK39" s="273"/>
      <c r="EL39" s="273"/>
      <c r="EM39" s="273"/>
      <c r="EN39" s="25"/>
      <c r="EO39" s="785"/>
      <c r="EP39" s="237" t="s">
        <v>72</v>
      </c>
      <c r="EQ39" s="213"/>
      <c r="ER39" s="237"/>
      <c r="ES39" s="237"/>
      <c r="ET39" s="216"/>
      <c r="EU39" s="213"/>
      <c r="EV39" s="363"/>
      <c r="EW39" s="363"/>
      <c r="EX39" s="273"/>
      <c r="EY39" s="273"/>
      <c r="EZ39" s="273"/>
      <c r="FA39" s="25"/>
      <c r="FB39" s="25"/>
      <c r="FC39" s="785"/>
      <c r="FD39" s="25"/>
      <c r="FE39" s="211"/>
      <c r="FF39" s="211"/>
      <c r="FG39" s="25"/>
      <c r="FH39" s="25"/>
      <c r="FI39" s="25"/>
      <c r="FJ39" s="25"/>
    </row>
    <row r="40" spans="1:166" s="208" customFormat="1">
      <c r="A40" s="777"/>
      <c r="B40" s="820"/>
      <c r="C40" s="221" t="s">
        <v>73</v>
      </c>
      <c r="D40" s="390"/>
      <c r="E40" s="809"/>
      <c r="F40" s="809"/>
      <c r="G40" s="821"/>
      <c r="H40" s="810"/>
      <c r="I40" s="811"/>
      <c r="J40" s="811"/>
      <c r="K40" s="822"/>
      <c r="L40" s="823"/>
      <c r="M40" s="824"/>
      <c r="N40" s="785"/>
      <c r="O40" s="782"/>
      <c r="P40" s="221" t="s">
        <v>73</v>
      </c>
      <c r="Q40" s="390"/>
      <c r="R40" s="809"/>
      <c r="S40" s="809"/>
      <c r="T40" s="821"/>
      <c r="U40" s="810"/>
      <c r="V40" s="811"/>
      <c r="W40" s="811"/>
      <c r="X40" s="822"/>
      <c r="Y40" s="823"/>
      <c r="Z40" s="824"/>
      <c r="AA40" s="25"/>
      <c r="AB40" s="815"/>
      <c r="AC40" s="221" t="s">
        <v>73</v>
      </c>
      <c r="AD40" s="390"/>
      <c r="AE40" s="809"/>
      <c r="AF40" s="809"/>
      <c r="AG40" s="821"/>
      <c r="AH40" s="810"/>
      <c r="AI40" s="811"/>
      <c r="AJ40" s="811"/>
      <c r="AK40" s="822"/>
      <c r="AL40" s="823"/>
      <c r="AM40" s="824"/>
      <c r="AN40" s="25"/>
      <c r="AO40" s="220"/>
      <c r="AP40" s="221" t="s">
        <v>73</v>
      </c>
      <c r="AQ40" s="390"/>
      <c r="AR40" s="809"/>
      <c r="AS40" s="809"/>
      <c r="AT40" s="821"/>
      <c r="AU40" s="810"/>
      <c r="AV40" s="811"/>
      <c r="AW40" s="811"/>
      <c r="AX40" s="822"/>
      <c r="AY40" s="823"/>
      <c r="AZ40" s="824"/>
      <c r="BA40" s="25"/>
      <c r="BB40" s="376"/>
      <c r="BC40" s="221" t="s">
        <v>73</v>
      </c>
      <c r="BD40" s="390"/>
      <c r="BE40" s="809"/>
      <c r="BF40" s="809"/>
      <c r="BG40" s="821"/>
      <c r="BH40" s="810"/>
      <c r="BI40" s="811"/>
      <c r="BJ40" s="811"/>
      <c r="BK40" s="822"/>
      <c r="BL40" s="823"/>
      <c r="BM40" s="824"/>
      <c r="BN40" s="25"/>
      <c r="BO40" s="238"/>
      <c r="BP40" s="221" t="s">
        <v>73</v>
      </c>
      <c r="BQ40" s="390"/>
      <c r="BR40" s="809"/>
      <c r="BS40" s="809"/>
      <c r="BT40" s="821"/>
      <c r="BU40" s="810"/>
      <c r="BV40" s="811"/>
      <c r="BW40" s="811"/>
      <c r="BX40" s="822"/>
      <c r="BY40" s="823"/>
      <c r="BZ40" s="824"/>
      <c r="CA40" s="25"/>
      <c r="CB40" s="239"/>
      <c r="CC40" s="221" t="s">
        <v>73</v>
      </c>
      <c r="CD40" s="390"/>
      <c r="CE40" s="809"/>
      <c r="CF40" s="809"/>
      <c r="CG40" s="821"/>
      <c r="CH40" s="810"/>
      <c r="CI40" s="811"/>
      <c r="CJ40" s="811"/>
      <c r="CK40" s="822"/>
      <c r="CL40" s="823"/>
      <c r="CM40" s="824"/>
      <c r="CN40" s="211"/>
      <c r="CO40" s="222"/>
      <c r="CP40" s="221" t="s">
        <v>73</v>
      </c>
      <c r="CQ40" s="390"/>
      <c r="CR40" s="809"/>
      <c r="CS40" s="809"/>
      <c r="CT40" s="821"/>
      <c r="CU40" s="810"/>
      <c r="CV40" s="811"/>
      <c r="CW40" s="811"/>
      <c r="CX40" s="822"/>
      <c r="CY40" s="823"/>
      <c r="CZ40" s="824"/>
      <c r="DA40" s="211"/>
      <c r="DB40" s="381"/>
      <c r="DC40" s="221" t="s">
        <v>73</v>
      </c>
      <c r="DD40" s="390"/>
      <c r="DE40" s="809"/>
      <c r="DF40" s="809"/>
      <c r="DG40" s="821"/>
      <c r="DH40" s="810"/>
      <c r="DI40" s="811"/>
      <c r="DJ40" s="811"/>
      <c r="DK40" s="822"/>
      <c r="DL40" s="823"/>
      <c r="DM40" s="824"/>
      <c r="DN40" s="25"/>
      <c r="DO40" s="223"/>
      <c r="DP40" s="221" t="s">
        <v>73</v>
      </c>
      <c r="DQ40" s="390"/>
      <c r="DR40" s="809"/>
      <c r="DS40" s="809"/>
      <c r="DT40" s="821"/>
      <c r="DU40" s="810"/>
      <c r="DV40" s="811"/>
      <c r="DW40" s="811"/>
      <c r="DX40" s="822"/>
      <c r="DY40" s="823"/>
      <c r="DZ40" s="824"/>
      <c r="EA40" s="785"/>
      <c r="EB40" s="240"/>
      <c r="EC40" s="221" t="s">
        <v>73</v>
      </c>
      <c r="ED40" s="390"/>
      <c r="EE40" s="809"/>
      <c r="EF40" s="809"/>
      <c r="EG40" s="821"/>
      <c r="EH40" s="810"/>
      <c r="EI40" s="811"/>
      <c r="EJ40" s="811"/>
      <c r="EK40" s="822"/>
      <c r="EL40" s="823"/>
      <c r="EM40" s="824"/>
      <c r="EN40" s="25"/>
      <c r="EO40" s="825"/>
      <c r="EP40" s="221" t="s">
        <v>73</v>
      </c>
      <c r="EQ40" s="390"/>
      <c r="ER40" s="809"/>
      <c r="ES40" s="809"/>
      <c r="ET40" s="821"/>
      <c r="EU40" s="810"/>
      <c r="EV40" s="811"/>
      <c r="EW40" s="811"/>
      <c r="EX40" s="822"/>
      <c r="EY40" s="823"/>
      <c r="EZ40" s="824"/>
      <c r="FA40" s="25"/>
      <c r="FB40" s="25"/>
      <c r="FC40" s="785"/>
      <c r="FD40" s="25"/>
      <c r="FE40" s="211"/>
      <c r="FF40" s="211"/>
      <c r="FG40" s="25"/>
      <c r="FH40" s="25"/>
      <c r="FI40" s="25"/>
      <c r="FJ40" s="25"/>
    </row>
    <row r="41" spans="1:166" s="208" customFormat="1">
      <c r="A41" s="777"/>
      <c r="B41" s="826"/>
      <c r="C41" s="425"/>
      <c r="D41" s="391"/>
      <c r="E41" s="447"/>
      <c r="F41" s="447"/>
      <c r="G41" s="772"/>
      <c r="H41" s="827"/>
      <c r="I41" s="828"/>
      <c r="J41" s="828"/>
      <c r="K41" s="829"/>
      <c r="L41" s="830"/>
      <c r="M41" s="831"/>
      <c r="N41" s="785"/>
      <c r="O41" s="793"/>
      <c r="P41" s="425"/>
      <c r="Q41" s="391"/>
      <c r="R41" s="447"/>
      <c r="S41" s="447"/>
      <c r="T41" s="772"/>
      <c r="U41" s="827"/>
      <c r="V41" s="828"/>
      <c r="W41" s="828"/>
      <c r="X41" s="829"/>
      <c r="Y41" s="830"/>
      <c r="Z41" s="831"/>
      <c r="AA41" s="25"/>
      <c r="AB41" s="783"/>
      <c r="AC41" s="425"/>
      <c r="AD41" s="391"/>
      <c r="AE41" s="447"/>
      <c r="AF41" s="447"/>
      <c r="AG41" s="772"/>
      <c r="AH41" s="827"/>
      <c r="AI41" s="828"/>
      <c r="AJ41" s="828"/>
      <c r="AK41" s="829"/>
      <c r="AL41" s="830"/>
      <c r="AM41" s="831"/>
      <c r="AN41" s="25"/>
      <c r="AO41" s="226"/>
      <c r="AP41" s="425"/>
      <c r="AQ41" s="391"/>
      <c r="AR41" s="447"/>
      <c r="AS41" s="447"/>
      <c r="AT41" s="772"/>
      <c r="AU41" s="827"/>
      <c r="AV41" s="828"/>
      <c r="AW41" s="828"/>
      <c r="AX41" s="829"/>
      <c r="AY41" s="830"/>
      <c r="AZ41" s="831"/>
      <c r="BA41" s="25"/>
      <c r="BB41" s="426"/>
      <c r="BC41" s="425"/>
      <c r="BD41" s="391"/>
      <c r="BE41" s="447"/>
      <c r="BF41" s="447"/>
      <c r="BG41" s="772"/>
      <c r="BH41" s="827"/>
      <c r="BI41" s="828"/>
      <c r="BJ41" s="828"/>
      <c r="BK41" s="829"/>
      <c r="BL41" s="830"/>
      <c r="BM41" s="831"/>
      <c r="BN41" s="25"/>
      <c r="BO41" s="241"/>
      <c r="BP41" s="425"/>
      <c r="BQ41" s="391"/>
      <c r="BR41" s="447"/>
      <c r="BS41" s="447"/>
      <c r="BT41" s="772"/>
      <c r="BU41" s="827"/>
      <c r="BV41" s="828"/>
      <c r="BW41" s="828"/>
      <c r="BX41" s="829"/>
      <c r="BY41" s="830"/>
      <c r="BZ41" s="831"/>
      <c r="CA41" s="25"/>
      <c r="CB41" s="242"/>
      <c r="CC41" s="425"/>
      <c r="CD41" s="391"/>
      <c r="CE41" s="447"/>
      <c r="CF41" s="447"/>
      <c r="CG41" s="772"/>
      <c r="CH41" s="827"/>
      <c r="CI41" s="828"/>
      <c r="CJ41" s="828"/>
      <c r="CK41" s="829"/>
      <c r="CL41" s="830"/>
      <c r="CM41" s="831"/>
      <c r="CN41" s="211"/>
      <c r="CO41" s="227"/>
      <c r="CP41" s="425"/>
      <c r="CQ41" s="391"/>
      <c r="CR41" s="447"/>
      <c r="CS41" s="447"/>
      <c r="CT41" s="772"/>
      <c r="CU41" s="827"/>
      <c r="CV41" s="828"/>
      <c r="CW41" s="828"/>
      <c r="CX41" s="829"/>
      <c r="CY41" s="830"/>
      <c r="CZ41" s="831"/>
      <c r="DA41" s="211"/>
      <c r="DB41" s="382"/>
      <c r="DC41" s="425"/>
      <c r="DD41" s="391"/>
      <c r="DE41" s="447"/>
      <c r="DF41" s="447"/>
      <c r="DG41" s="772"/>
      <c r="DH41" s="827"/>
      <c r="DI41" s="828"/>
      <c r="DJ41" s="828"/>
      <c r="DK41" s="829"/>
      <c r="DL41" s="830"/>
      <c r="DM41" s="831"/>
      <c r="DN41" s="25"/>
      <c r="DO41" s="228"/>
      <c r="DP41" s="425"/>
      <c r="DQ41" s="391"/>
      <c r="DR41" s="447"/>
      <c r="DS41" s="447"/>
      <c r="DT41" s="772"/>
      <c r="DU41" s="827"/>
      <c r="DV41" s="828"/>
      <c r="DW41" s="828"/>
      <c r="DX41" s="829"/>
      <c r="DY41" s="830"/>
      <c r="DZ41" s="831"/>
      <c r="EA41" s="785"/>
      <c r="EB41" s="243"/>
      <c r="EC41" s="425"/>
      <c r="ED41" s="391"/>
      <c r="EE41" s="447"/>
      <c r="EF41" s="447"/>
      <c r="EG41" s="772"/>
      <c r="EH41" s="827"/>
      <c r="EI41" s="828"/>
      <c r="EJ41" s="828"/>
      <c r="EK41" s="829"/>
      <c r="EL41" s="830"/>
      <c r="EM41" s="831"/>
      <c r="EN41" s="25"/>
      <c r="EO41" s="792"/>
      <c r="EP41" s="425"/>
      <c r="EQ41" s="391"/>
      <c r="ER41" s="447"/>
      <c r="ES41" s="447"/>
      <c r="ET41" s="772"/>
      <c r="EU41" s="827"/>
      <c r="EV41" s="828"/>
      <c r="EW41" s="828"/>
      <c r="EX41" s="829"/>
      <c r="EY41" s="830"/>
      <c r="EZ41" s="831"/>
      <c r="FA41" s="25"/>
      <c r="FB41" s="25"/>
      <c r="FC41" s="785"/>
      <c r="FD41" s="25"/>
      <c r="FE41" s="211"/>
      <c r="FF41" s="211"/>
      <c r="FG41" s="25"/>
      <c r="FH41" s="25"/>
      <c r="FI41" s="25"/>
      <c r="FJ41" s="25"/>
    </row>
    <row r="42" spans="1:166" s="208" customFormat="1">
      <c r="A42" s="777"/>
      <c r="B42" s="826"/>
      <c r="C42" s="415" t="s">
        <v>22</v>
      </c>
      <c r="D42" s="386">
        <f>BudgetedData!B19</f>
        <v>26327.3</v>
      </c>
      <c r="E42" s="447">
        <f>Data!C18</f>
        <v>26341.059999999998</v>
      </c>
      <c r="F42" s="447">
        <f>Data!D18</f>
        <v>0</v>
      </c>
      <c r="G42" s="447">
        <f>Data!E18</f>
        <v>59.695605169954455</v>
      </c>
      <c r="H42" s="832">
        <f>+E42+F42-G42</f>
        <v>26281.364394830041</v>
      </c>
      <c r="I42" s="818">
        <f>IF(E42=0,"-",H42/E42)</f>
        <v>0.99773374324457875</v>
      </c>
      <c r="J42" s="818">
        <f>IF(ISERROR(G42/E42),"-",G42/E42)</f>
        <v>2.2662567554211734E-3</v>
      </c>
      <c r="K42" s="781">
        <f>D42-E42</f>
        <v>-13.759999999998399</v>
      </c>
      <c r="L42" s="785">
        <f>E42-H42</f>
        <v>59.695605169956252</v>
      </c>
      <c r="M42" s="777">
        <f>D42-H42</f>
        <v>45.935605169957853</v>
      </c>
      <c r="N42" s="785"/>
      <c r="O42" s="793"/>
      <c r="P42" s="415" t="s">
        <v>22</v>
      </c>
      <c r="Q42" s="386">
        <f>BudgetedData!C19</f>
        <v>26425.21</v>
      </c>
      <c r="R42" s="447">
        <f>Data!C38</f>
        <v>27498.800000000007</v>
      </c>
      <c r="S42" s="447">
        <f>Data!D38</f>
        <v>0</v>
      </c>
      <c r="T42" s="770">
        <f>Data!E38</f>
        <v>52.291743816851508</v>
      </c>
      <c r="U42" s="447">
        <f>+R42+S42-T42</f>
        <v>27446.508256183155</v>
      </c>
      <c r="V42" s="818">
        <f>IF(R42=0,"-",U42/R42)</f>
        <v>0.9980983990640736</v>
      </c>
      <c r="W42" s="818">
        <f>IF(ISERROR(T42/R42),"-",T42/R42)</f>
        <v>1.9016009359263493E-3</v>
      </c>
      <c r="X42" s="781">
        <f>Q42-R42</f>
        <v>-1073.5900000000074</v>
      </c>
      <c r="Y42" s="785">
        <f>R42-U42</f>
        <v>52.291743816851522</v>
      </c>
      <c r="Z42" s="777">
        <f>Q42-U42</f>
        <v>-1021.2982561831559</v>
      </c>
      <c r="AA42" s="25"/>
      <c r="AB42" s="783"/>
      <c r="AC42" s="415" t="s">
        <v>22</v>
      </c>
      <c r="AD42" s="386">
        <f>BudgetedData!D19</f>
        <v>25127.33</v>
      </c>
      <c r="AE42" s="447">
        <f>Data!C58</f>
        <v>26464.459999999995</v>
      </c>
      <c r="AF42" s="447">
        <f>Data!D58</f>
        <v>0</v>
      </c>
      <c r="AG42" s="447">
        <f>Data!E58</f>
        <v>53.331584367234932</v>
      </c>
      <c r="AH42" s="832">
        <f>+AE42+AF42-AG42</f>
        <v>26411.12841563276</v>
      </c>
      <c r="AI42" s="818">
        <f>IF(AE42=0,"-",AH42/AE42)</f>
        <v>0.9979847847125074</v>
      </c>
      <c r="AJ42" s="818">
        <f>IF(ISERROR(AG42/AE42),"-",AG42/AE42)</f>
        <v>2.0152152874925444E-3</v>
      </c>
      <c r="AK42" s="781">
        <f>AD42-AE42</f>
        <v>-1337.1299999999937</v>
      </c>
      <c r="AL42" s="785">
        <f>AE42-AH42</f>
        <v>53.331584367235337</v>
      </c>
      <c r="AM42" s="777">
        <f>AD42-AH42</f>
        <v>-1283.7984156327584</v>
      </c>
      <c r="AN42" s="25"/>
      <c r="AO42" s="226"/>
      <c r="AP42" s="415" t="s">
        <v>22</v>
      </c>
      <c r="AQ42" s="386">
        <f>BudgetedData!E19</f>
        <v>26045.72</v>
      </c>
      <c r="AR42" s="447">
        <f>Data!C78</f>
        <v>27212.069999999992</v>
      </c>
      <c r="AS42" s="447">
        <f>Data!D78</f>
        <v>0</v>
      </c>
      <c r="AT42" s="447">
        <f>Data!E78</f>
        <v>54.222537280791826</v>
      </c>
      <c r="AU42" s="832">
        <f>+AR42+AS42-AT42</f>
        <v>27157.847462719201</v>
      </c>
      <c r="AV42" s="818">
        <f>IF(AR42=0,"-",AU42/AR42)</f>
        <v>0.99800740857712067</v>
      </c>
      <c r="AW42" s="818">
        <f>IF(ISERROR(AT42/AR42),"-",AT42/AR42)</f>
        <v>1.9925914228793268E-3</v>
      </c>
      <c r="AX42" s="781">
        <f>AQ42-AR42</f>
        <v>-1166.3499999999913</v>
      </c>
      <c r="AY42" s="785">
        <f>AR42-AU42</f>
        <v>54.222537280791585</v>
      </c>
      <c r="AZ42" s="777">
        <f>AQ42-AU42</f>
        <v>-1112.1274627191997</v>
      </c>
      <c r="BA42" s="25"/>
      <c r="BB42" s="786"/>
      <c r="BC42" s="415" t="s">
        <v>22</v>
      </c>
      <c r="BD42" s="386">
        <f>BudgetedData!F19</f>
        <v>25225.24</v>
      </c>
      <c r="BE42" s="447">
        <f>Data!C98</f>
        <v>0</v>
      </c>
      <c r="BF42" s="447">
        <f>Data!D98</f>
        <v>0</v>
      </c>
      <c r="BG42" s="447">
        <f>Data!E98</f>
        <v>0</v>
      </c>
      <c r="BH42" s="832">
        <f>+BE42+BF42-BG42</f>
        <v>0</v>
      </c>
      <c r="BI42" s="818" t="str">
        <f>IF(BE42=0,"-",BH42/BE42)</f>
        <v>-</v>
      </c>
      <c r="BJ42" s="818" t="str">
        <f>IF(ISERROR(BG42/BE42),"-",BG42/BE42)</f>
        <v>-</v>
      </c>
      <c r="BK42" s="781">
        <f>BD42-BE42</f>
        <v>25225.24</v>
      </c>
      <c r="BL42" s="785">
        <f>BE42-BH42</f>
        <v>0</v>
      </c>
      <c r="BM42" s="777">
        <f>BD42-BH42</f>
        <v>25225.24</v>
      </c>
      <c r="BN42" s="25"/>
      <c r="BO42" s="241"/>
      <c r="BP42" s="415" t="s">
        <v>22</v>
      </c>
      <c r="BQ42" s="386">
        <f>BudgetedData!G19</f>
        <v>26045.72</v>
      </c>
      <c r="BR42" s="447">
        <f>Data!C118</f>
        <v>0</v>
      </c>
      <c r="BS42" s="447">
        <f>Data!D118</f>
        <v>0</v>
      </c>
      <c r="BT42" s="447">
        <f>Data!E118</f>
        <v>0</v>
      </c>
      <c r="BU42" s="832">
        <f>+BR42+BS42-BT42</f>
        <v>0</v>
      </c>
      <c r="BV42" s="818" t="str">
        <f>IF(BR42=0,"-",BU42/BR42)</f>
        <v>-</v>
      </c>
      <c r="BW42" s="818" t="str">
        <f>IF(ISERROR(BT42/BR42),"-",BT42/BR42)</f>
        <v>-</v>
      </c>
      <c r="BX42" s="781">
        <f>BQ42-BR42</f>
        <v>26045.72</v>
      </c>
      <c r="BY42" s="785">
        <f>BR42-BU42</f>
        <v>0</v>
      </c>
      <c r="BZ42" s="777">
        <f>BQ42-BU42</f>
        <v>26045.72</v>
      </c>
      <c r="CA42" s="25"/>
      <c r="CB42" s="242"/>
      <c r="CC42" s="415" t="s">
        <v>22</v>
      </c>
      <c r="CD42" s="386">
        <f>BudgetedData!H19</f>
        <v>26101.4</v>
      </c>
      <c r="CE42" s="447">
        <f>Data!C138</f>
        <v>0</v>
      </c>
      <c r="CF42" s="447">
        <f>Data!D138</f>
        <v>0</v>
      </c>
      <c r="CG42" s="447">
        <f>Data!E138</f>
        <v>0</v>
      </c>
      <c r="CH42" s="832">
        <f>+CE42+CF42-CG42</f>
        <v>0</v>
      </c>
      <c r="CI42" s="818" t="str">
        <f>IF(CE42=0,"-",CH42/CE42)</f>
        <v>-</v>
      </c>
      <c r="CJ42" s="818" t="str">
        <f>IF(ISERROR(CG42/CE42),"-",CG42/CE42)</f>
        <v>-</v>
      </c>
      <c r="CK42" s="781">
        <f>CD42-CE42</f>
        <v>26101.4</v>
      </c>
      <c r="CL42" s="785">
        <f>CE42-CH42</f>
        <v>0</v>
      </c>
      <c r="CM42" s="777">
        <f>CD42-CH42</f>
        <v>26101.4</v>
      </c>
      <c r="CN42" s="211"/>
      <c r="CO42" s="227"/>
      <c r="CP42" s="415" t="s">
        <v>22</v>
      </c>
      <c r="CQ42" s="386">
        <f>BudgetedData!H19</f>
        <v>26101.4</v>
      </c>
      <c r="CR42" s="447">
        <f>Data!C158</f>
        <v>0</v>
      </c>
      <c r="CS42" s="447">
        <f>Data!D158</f>
        <v>0</v>
      </c>
      <c r="CT42" s="447">
        <f>Data!E158</f>
        <v>0</v>
      </c>
      <c r="CU42" s="832">
        <f>+CR42+CS42-CT42</f>
        <v>0</v>
      </c>
      <c r="CV42" s="818" t="str">
        <f>IF(CR42=0,"-",CU42/CR42)</f>
        <v>-</v>
      </c>
      <c r="CW42" s="818" t="str">
        <f>IF(ISERROR(CT42/CR42),"-",CT42/CR42)</f>
        <v>-</v>
      </c>
      <c r="CX42" s="781">
        <f>CQ42-CR42</f>
        <v>26101.4</v>
      </c>
      <c r="CY42" s="785">
        <f>CR42-CU42</f>
        <v>0</v>
      </c>
      <c r="CZ42" s="777">
        <f>CQ42-CU42</f>
        <v>26101.4</v>
      </c>
      <c r="DA42" s="211"/>
      <c r="DB42" s="382"/>
      <c r="DC42" s="415" t="s">
        <v>22</v>
      </c>
      <c r="DD42" s="386">
        <f>BudgetedData!I19</f>
        <v>24532.75</v>
      </c>
      <c r="DE42" s="447">
        <f>Data!C178</f>
        <v>0</v>
      </c>
      <c r="DF42" s="447">
        <f>Data!D178</f>
        <v>0</v>
      </c>
      <c r="DG42" s="447">
        <f>Data!E178</f>
        <v>0</v>
      </c>
      <c r="DH42" s="832">
        <f>+DE42+DF42-DG42</f>
        <v>0</v>
      </c>
      <c r="DI42" s="818" t="str">
        <f>IF(DE42=0,"-",DH42/DE42)</f>
        <v>-</v>
      </c>
      <c r="DJ42" s="818" t="str">
        <f>IF(ISERROR(DG42/DE42),"-",DG42/DE42)</f>
        <v>-</v>
      </c>
      <c r="DK42" s="781">
        <f>DD42-DE42</f>
        <v>24532.75</v>
      </c>
      <c r="DL42" s="785">
        <f>DE42-DH42</f>
        <v>0</v>
      </c>
      <c r="DM42" s="777">
        <f>DD42-DH42</f>
        <v>24532.75</v>
      </c>
      <c r="DN42" s="25"/>
      <c r="DO42" s="228"/>
      <c r="DP42" s="415" t="s">
        <v>22</v>
      </c>
      <c r="DQ42" s="386">
        <f>BudgetedData!J19</f>
        <v>26327.3</v>
      </c>
      <c r="DR42" s="447">
        <f>Data!C198</f>
        <v>0</v>
      </c>
      <c r="DS42" s="447">
        <f>Data!D198</f>
        <v>0</v>
      </c>
      <c r="DT42" s="447">
        <f>Data!E198</f>
        <v>0</v>
      </c>
      <c r="DU42" s="832">
        <f>+DR42+DS42-DT42</f>
        <v>0</v>
      </c>
      <c r="DV42" s="818" t="str">
        <f>IF(DR42=0,"-",DU42/DR42)</f>
        <v>-</v>
      </c>
      <c r="DW42" s="818" t="str">
        <f>IF(ISERROR(DT42/DR42),"-",DT42/DR42)</f>
        <v>-</v>
      </c>
      <c r="DX42" s="781">
        <f>DQ42-DR42</f>
        <v>26327.3</v>
      </c>
      <c r="DY42" s="785">
        <f>DR42-DU42</f>
        <v>0</v>
      </c>
      <c r="DZ42" s="777">
        <f>DQ42-DU42</f>
        <v>26327.3</v>
      </c>
      <c r="EA42" s="785"/>
      <c r="EB42" s="243"/>
      <c r="EC42" s="415" t="s">
        <v>22</v>
      </c>
      <c r="ED42" s="386">
        <f>BudgetedData!L19</f>
        <v>25862.04</v>
      </c>
      <c r="EE42" s="447">
        <f>Data!C218</f>
        <v>0</v>
      </c>
      <c r="EF42" s="447">
        <f>Data!D218</f>
        <v>0</v>
      </c>
      <c r="EG42" s="447">
        <f>Data!E218</f>
        <v>0</v>
      </c>
      <c r="EH42" s="832">
        <f>+EE42+EF42-EG42</f>
        <v>0</v>
      </c>
      <c r="EI42" s="818" t="str">
        <f>IF(EE42=0,"-",EH42/EE42)</f>
        <v>-</v>
      </c>
      <c r="EJ42" s="818" t="str">
        <f>IF(ISERROR(EG42/EE42),"-",EG42/EE42)</f>
        <v>-</v>
      </c>
      <c r="EK42" s="781">
        <f>ED42-EE42</f>
        <v>25862.04</v>
      </c>
      <c r="EL42" s="785">
        <f>EE42-EH42</f>
        <v>0</v>
      </c>
      <c r="EM42" s="777">
        <f>ED42-EH42</f>
        <v>25862.04</v>
      </c>
      <c r="EN42" s="25"/>
      <c r="EO42" s="792"/>
      <c r="EP42" s="415" t="s">
        <v>22</v>
      </c>
      <c r="EQ42" s="386">
        <f>BudgetedData!M19</f>
        <v>25690.5</v>
      </c>
      <c r="ER42" s="447">
        <f>Data!C238</f>
        <v>0</v>
      </c>
      <c r="ES42" s="447">
        <f>Data!D238</f>
        <v>0</v>
      </c>
      <c r="ET42" s="447">
        <f>Data!E238</f>
        <v>0</v>
      </c>
      <c r="EU42" s="832">
        <f>+ER42+ES42-ET42</f>
        <v>0</v>
      </c>
      <c r="EV42" s="818" t="str">
        <f>IF(ER42=0,"-",EU42/ER42)</f>
        <v>-</v>
      </c>
      <c r="EW42" s="818" t="str">
        <f>IF(ISERROR(ET42/ER42),"-",ET42/ER42)</f>
        <v>-</v>
      </c>
      <c r="EX42" s="781">
        <f>EQ42-ER42</f>
        <v>25690.5</v>
      </c>
      <c r="EY42" s="785">
        <f>ER42-EU42</f>
        <v>0</v>
      </c>
      <c r="EZ42" s="777">
        <f>EQ42-EU42</f>
        <v>25690.5</v>
      </c>
      <c r="FA42" s="25"/>
      <c r="FB42" s="25"/>
      <c r="FC42" s="785"/>
      <c r="FD42" s="25"/>
      <c r="FE42" s="211"/>
      <c r="FF42" s="211"/>
      <c r="FG42" s="25"/>
      <c r="FH42" s="25"/>
      <c r="FI42" s="25"/>
      <c r="FJ42" s="25"/>
    </row>
    <row r="43" spans="1:166" s="208" customFormat="1">
      <c r="A43" s="777"/>
      <c r="B43" s="826"/>
      <c r="C43" s="415"/>
      <c r="D43" s="386"/>
      <c r="E43" s="447"/>
      <c r="F43" s="447"/>
      <c r="G43" s="447"/>
      <c r="H43" s="832"/>
      <c r="I43" s="818"/>
      <c r="J43" s="818"/>
      <c r="K43" s="781"/>
      <c r="L43" s="785"/>
      <c r="M43" s="777"/>
      <c r="N43" s="785"/>
      <c r="O43" s="793"/>
      <c r="P43" s="415"/>
      <c r="Q43" s="386"/>
      <c r="R43" s="447"/>
      <c r="S43" s="447"/>
      <c r="T43" s="770"/>
      <c r="U43" s="447"/>
      <c r="V43" s="818"/>
      <c r="W43" s="818"/>
      <c r="X43" s="781"/>
      <c r="Y43" s="785"/>
      <c r="Z43" s="777"/>
      <c r="AA43" s="25"/>
      <c r="AB43" s="783"/>
      <c r="AC43" s="415"/>
      <c r="AD43" s="386"/>
      <c r="AE43" s="447"/>
      <c r="AF43" s="447"/>
      <c r="AG43" s="447"/>
      <c r="AH43" s="832"/>
      <c r="AI43" s="818"/>
      <c r="AJ43" s="818"/>
      <c r="AK43" s="781"/>
      <c r="AL43" s="785"/>
      <c r="AM43" s="777"/>
      <c r="AN43" s="25"/>
      <c r="AO43" s="226"/>
      <c r="AP43" s="415"/>
      <c r="AQ43" s="386"/>
      <c r="AR43" s="447"/>
      <c r="AS43" s="447"/>
      <c r="AT43" s="447"/>
      <c r="AU43" s="832"/>
      <c r="AV43" s="818"/>
      <c r="AW43" s="818"/>
      <c r="AX43" s="781"/>
      <c r="AY43" s="785"/>
      <c r="AZ43" s="777"/>
      <c r="BA43" s="25"/>
      <c r="BB43" s="786"/>
      <c r="BC43" s="415"/>
      <c r="BD43" s="386"/>
      <c r="BE43" s="447"/>
      <c r="BF43" s="447"/>
      <c r="BG43" s="447"/>
      <c r="BH43" s="832"/>
      <c r="BI43" s="818"/>
      <c r="BJ43" s="818"/>
      <c r="BK43" s="781"/>
      <c r="BL43" s="785"/>
      <c r="BM43" s="777"/>
      <c r="BN43" s="25"/>
      <c r="BO43" s="241"/>
      <c r="BP43" s="415"/>
      <c r="BQ43" s="386"/>
      <c r="BR43" s="447"/>
      <c r="BS43" s="447"/>
      <c r="BT43" s="447"/>
      <c r="BU43" s="832"/>
      <c r="BV43" s="818"/>
      <c r="BW43" s="818"/>
      <c r="BX43" s="781"/>
      <c r="BY43" s="785"/>
      <c r="BZ43" s="777"/>
      <c r="CA43" s="25"/>
      <c r="CB43" s="242"/>
      <c r="CC43" s="415"/>
      <c r="CD43" s="386"/>
      <c r="CE43" s="447"/>
      <c r="CF43" s="447"/>
      <c r="CG43" s="447"/>
      <c r="CH43" s="832"/>
      <c r="CI43" s="818"/>
      <c r="CJ43" s="818"/>
      <c r="CK43" s="781"/>
      <c r="CL43" s="785"/>
      <c r="CM43" s="777"/>
      <c r="CN43" s="211"/>
      <c r="CO43" s="227"/>
      <c r="CP43" s="415"/>
      <c r="CQ43" s="386"/>
      <c r="CR43" s="447"/>
      <c r="CS43" s="447"/>
      <c r="CT43" s="447"/>
      <c r="CU43" s="832"/>
      <c r="CV43" s="818"/>
      <c r="CW43" s="818"/>
      <c r="CX43" s="781"/>
      <c r="CY43" s="785"/>
      <c r="CZ43" s="777"/>
      <c r="DA43" s="211"/>
      <c r="DB43" s="382"/>
      <c r="DC43" s="415"/>
      <c r="DD43" s="386"/>
      <c r="DE43" s="447"/>
      <c r="DF43" s="447"/>
      <c r="DG43" s="447"/>
      <c r="DH43" s="832"/>
      <c r="DI43" s="818"/>
      <c r="DJ43" s="818"/>
      <c r="DK43" s="781"/>
      <c r="DL43" s="785"/>
      <c r="DM43" s="777"/>
      <c r="DN43" s="25"/>
      <c r="DO43" s="228"/>
      <c r="DP43" s="415"/>
      <c r="DQ43" s="386"/>
      <c r="DR43" s="447"/>
      <c r="DS43" s="447"/>
      <c r="DT43" s="447"/>
      <c r="DU43" s="832"/>
      <c r="DV43" s="818"/>
      <c r="DW43" s="818"/>
      <c r="DX43" s="781"/>
      <c r="DY43" s="785"/>
      <c r="DZ43" s="777"/>
      <c r="EA43" s="785"/>
      <c r="EB43" s="243"/>
      <c r="EC43" s="415"/>
      <c r="ED43" s="386"/>
      <c r="EE43" s="447"/>
      <c r="EF43" s="447"/>
      <c r="EG43" s="447"/>
      <c r="EH43" s="832"/>
      <c r="EI43" s="818"/>
      <c r="EJ43" s="818"/>
      <c r="EK43" s="781"/>
      <c r="EL43" s="785"/>
      <c r="EM43" s="777"/>
      <c r="EN43" s="25"/>
      <c r="EO43" s="792"/>
      <c r="EP43" s="415"/>
      <c r="EQ43" s="386"/>
      <c r="ER43" s="447"/>
      <c r="ES43" s="447"/>
      <c r="ET43" s="447"/>
      <c r="EU43" s="832"/>
      <c r="EV43" s="818"/>
      <c r="EW43" s="818"/>
      <c r="EX43" s="781"/>
      <c r="EY43" s="785"/>
      <c r="EZ43" s="777"/>
      <c r="FA43" s="25"/>
      <c r="FB43" s="25"/>
      <c r="FC43" s="785"/>
      <c r="FD43" s="25"/>
      <c r="FE43" s="211"/>
      <c r="FF43" s="211"/>
      <c r="FG43" s="25"/>
      <c r="FH43" s="25"/>
      <c r="FI43" s="25"/>
      <c r="FJ43" s="25"/>
    </row>
    <row r="44" spans="1:166" s="208" customFormat="1">
      <c r="A44" s="777"/>
      <c r="B44" s="826"/>
      <c r="C44" s="415" t="s">
        <v>23</v>
      </c>
      <c r="D44" s="386">
        <f>BudgetedData!B20</f>
        <v>17264.150000000001</v>
      </c>
      <c r="E44" s="447">
        <f>Data!C17</f>
        <v>11058.949999999999</v>
      </c>
      <c r="F44" s="447">
        <f>Data!D17</f>
        <v>0</v>
      </c>
      <c r="G44" s="447">
        <f>Data!E17</f>
        <v>14.500000000000002</v>
      </c>
      <c r="H44" s="832">
        <f>+E44+F44-G44</f>
        <v>11044.449999999999</v>
      </c>
      <c r="I44" s="818">
        <f>IF(E44=0,"-",H44/E44)</f>
        <v>0.99868884478182829</v>
      </c>
      <c r="J44" s="818">
        <f>IF(ISERROR(G44/E44),"-",G44/E44)</f>
        <v>1.3111552181717073E-3</v>
      </c>
      <c r="K44" s="781">
        <f>D44-E44</f>
        <v>6205.2000000000025</v>
      </c>
      <c r="L44" s="785">
        <f>E44-H44</f>
        <v>14.5</v>
      </c>
      <c r="M44" s="777">
        <f>D44-H44</f>
        <v>6219.7000000000025</v>
      </c>
      <c r="N44" s="785"/>
      <c r="O44" s="793"/>
      <c r="P44" s="415" t="s">
        <v>23</v>
      </c>
      <c r="Q44" s="386">
        <f>BudgetedData!C20</f>
        <v>17288.38</v>
      </c>
      <c r="R44" s="447">
        <f>Data!C37</f>
        <v>10878.709999999995</v>
      </c>
      <c r="S44" s="447">
        <f>Data!D37</f>
        <v>0</v>
      </c>
      <c r="T44" s="770">
        <f>Data!E37</f>
        <v>49.300000000000004</v>
      </c>
      <c r="U44" s="447">
        <f>+R44+S44-T44</f>
        <v>10829.409999999996</v>
      </c>
      <c r="V44" s="818">
        <f>IF(R44=0,"-",U44/R44)</f>
        <v>0.99546821268330532</v>
      </c>
      <c r="W44" s="818">
        <f>IF(ISERROR(T44/R44),"-",T44/R44)</f>
        <v>4.5317873166947206E-3</v>
      </c>
      <c r="X44" s="781">
        <f>Q44-R44</f>
        <v>6409.6700000000055</v>
      </c>
      <c r="Y44" s="785">
        <f>R44-U44</f>
        <v>49.299999999999272</v>
      </c>
      <c r="Z44" s="777">
        <f>Q44-U44</f>
        <v>6458.9700000000048</v>
      </c>
      <c r="AA44" s="25"/>
      <c r="AB44" s="783"/>
      <c r="AC44" s="415" t="s">
        <v>23</v>
      </c>
      <c r="AD44" s="386">
        <f>BudgetedData!D20</f>
        <v>16710.37</v>
      </c>
      <c r="AE44" s="447">
        <f>Data!C57</f>
        <v>9413.5700000000015</v>
      </c>
      <c r="AF44" s="447">
        <f>Data!D57</f>
        <v>0</v>
      </c>
      <c r="AG44" s="447">
        <f>Data!E57</f>
        <v>5.8000000000000007</v>
      </c>
      <c r="AH44" s="832">
        <f>+AE44+AF44-AG44</f>
        <v>9407.7700000000023</v>
      </c>
      <c r="AI44" s="818">
        <f>IF(AE44=0,"-",AH44/AE44)</f>
        <v>0.99938386818178448</v>
      </c>
      <c r="AJ44" s="818">
        <f>IF(ISERROR(AG44/AE44),"-",AG44/AE44)</f>
        <v>6.1613181821561854E-4</v>
      </c>
      <c r="AK44" s="781">
        <f>AD44-AE44</f>
        <v>7296.7999999999975</v>
      </c>
      <c r="AL44" s="785">
        <f>AE44-AH44</f>
        <v>5.7999999999992724</v>
      </c>
      <c r="AM44" s="777">
        <f>AD44-AH44</f>
        <v>7302.5999999999967</v>
      </c>
      <c r="AN44" s="25"/>
      <c r="AO44" s="226"/>
      <c r="AP44" s="415" t="s">
        <v>23</v>
      </c>
      <c r="AQ44" s="386">
        <f>BudgetedData!E20</f>
        <v>17264.150000000001</v>
      </c>
      <c r="AR44" s="447">
        <f>Data!C77</f>
        <v>10198.809999999996</v>
      </c>
      <c r="AS44" s="447">
        <f>Data!D77</f>
        <v>0</v>
      </c>
      <c r="AT44" s="447">
        <f>Data!E77</f>
        <v>10.633333333333335</v>
      </c>
      <c r="AU44" s="832">
        <f>+AR44+AS44-AT44</f>
        <v>10188.176666666663</v>
      </c>
      <c r="AV44" s="818">
        <f>IF(AR44=0,"-",AU44/AR44)</f>
        <v>0.9989573947025846</v>
      </c>
      <c r="AW44" s="818">
        <f>IF(ISERROR(AT44/AR44),"-",AT44/AR44)</f>
        <v>1.0426052974154179E-3</v>
      </c>
      <c r="AX44" s="781">
        <f>AQ44-AR44</f>
        <v>7065.3400000000056</v>
      </c>
      <c r="AY44" s="785">
        <f>AR44-AU44</f>
        <v>10.633333333333212</v>
      </c>
      <c r="AZ44" s="777">
        <f>AQ44-AU44</f>
        <v>7075.9733333333388</v>
      </c>
      <c r="BA44" s="25"/>
      <c r="BB44" s="786"/>
      <c r="BC44" s="415" t="s">
        <v>23</v>
      </c>
      <c r="BD44" s="386">
        <f>BudgetedData!F20</f>
        <v>16734.59</v>
      </c>
      <c r="BE44" s="447">
        <f>Data!C97</f>
        <v>0</v>
      </c>
      <c r="BF44" s="447">
        <f>Data!D97</f>
        <v>0</v>
      </c>
      <c r="BG44" s="447">
        <f>Data!E97</f>
        <v>0</v>
      </c>
      <c r="BH44" s="832">
        <f>+BE44+BF44-BG44</f>
        <v>0</v>
      </c>
      <c r="BI44" s="818" t="str">
        <f>IF(BE44=0,"-",BH44/BE44)</f>
        <v>-</v>
      </c>
      <c r="BJ44" s="818" t="str">
        <f>IF(ISERROR(BG44/BE44),"-",BG44/BE44)</f>
        <v>-</v>
      </c>
      <c r="BK44" s="781">
        <f>BD44-BE44</f>
        <v>16734.59</v>
      </c>
      <c r="BL44" s="785">
        <f>BE44-BH44</f>
        <v>0</v>
      </c>
      <c r="BM44" s="777">
        <f>BD44-BH44</f>
        <v>16734.59</v>
      </c>
      <c r="BN44" s="25"/>
      <c r="BO44" s="241"/>
      <c r="BP44" s="415" t="s">
        <v>23</v>
      </c>
      <c r="BQ44" s="386">
        <f>BudgetedData!G20</f>
        <v>17264.150000000001</v>
      </c>
      <c r="BR44" s="447">
        <f>Data!C117</f>
        <v>0</v>
      </c>
      <c r="BS44" s="447">
        <f>Data!D117</f>
        <v>0</v>
      </c>
      <c r="BT44" s="447">
        <f>Data!E117</f>
        <v>0</v>
      </c>
      <c r="BU44" s="832">
        <f>+BR44+BS44-BT44</f>
        <v>0</v>
      </c>
      <c r="BV44" s="818" t="str">
        <f>IF(BR44=0,"-",BU44/BR44)</f>
        <v>-</v>
      </c>
      <c r="BW44" s="818" t="str">
        <f>IF(ISERROR(BT44/BR44),"-",BT44/BR44)</f>
        <v>-</v>
      </c>
      <c r="BX44" s="781">
        <f>BQ44-BR44</f>
        <v>17264.150000000001</v>
      </c>
      <c r="BY44" s="785">
        <f>BR44-BU44</f>
        <v>0</v>
      </c>
      <c r="BZ44" s="777">
        <f>BQ44-BU44</f>
        <v>17264.150000000001</v>
      </c>
      <c r="CA44" s="25"/>
      <c r="CB44" s="242"/>
      <c r="CC44" s="415" t="s">
        <v>23</v>
      </c>
      <c r="CD44" s="386">
        <f>BudgetedData!H20</f>
        <v>17276.259999999998</v>
      </c>
      <c r="CE44" s="447">
        <f>Data!C137</f>
        <v>0</v>
      </c>
      <c r="CF44" s="447">
        <f>Data!D137</f>
        <v>0</v>
      </c>
      <c r="CG44" s="447">
        <f>Data!E137</f>
        <v>0</v>
      </c>
      <c r="CH44" s="832">
        <f>+CE44+CF44-CG44</f>
        <v>0</v>
      </c>
      <c r="CI44" s="818" t="str">
        <f>IF(CE44=0,"-",CH44/CE44)</f>
        <v>-</v>
      </c>
      <c r="CJ44" s="818" t="str">
        <f>IF(ISERROR(CG44/CE44),"-",CG44/CE44)</f>
        <v>-</v>
      </c>
      <c r="CK44" s="781">
        <f>CD44-CE44</f>
        <v>17276.259999999998</v>
      </c>
      <c r="CL44" s="785">
        <f>CE44-CH44</f>
        <v>0</v>
      </c>
      <c r="CM44" s="777">
        <f>CD44-CH44</f>
        <v>17276.259999999998</v>
      </c>
      <c r="CN44" s="211"/>
      <c r="CO44" s="227"/>
      <c r="CP44" s="415" t="s">
        <v>23</v>
      </c>
      <c r="CQ44" s="386">
        <f>BudgetedData!H20</f>
        <v>17276.259999999998</v>
      </c>
      <c r="CR44" s="447">
        <f>Data!C157</f>
        <v>0</v>
      </c>
      <c r="CS44" s="447">
        <f>Data!D157</f>
        <v>0</v>
      </c>
      <c r="CT44" s="447">
        <f>Data!E157</f>
        <v>0</v>
      </c>
      <c r="CU44" s="832">
        <f>+CR44+CS44-CT44</f>
        <v>0</v>
      </c>
      <c r="CV44" s="818" t="str">
        <f>IF(CR44=0,"-",CU44/CR44)</f>
        <v>-</v>
      </c>
      <c r="CW44" s="818" t="str">
        <f>IF(ISERROR(CT44/CR44),"-",CT44/CR44)</f>
        <v>-</v>
      </c>
      <c r="CX44" s="781">
        <f>CQ44-CR44</f>
        <v>17276.259999999998</v>
      </c>
      <c r="CY44" s="785">
        <f>CR44-CU44</f>
        <v>0</v>
      </c>
      <c r="CZ44" s="777">
        <f>CQ44-CU44</f>
        <v>17276.259999999998</v>
      </c>
      <c r="DA44" s="211"/>
      <c r="DB44" s="382"/>
      <c r="DC44" s="415" t="s">
        <v>23</v>
      </c>
      <c r="DD44" s="386">
        <f>BudgetedData!I20</f>
        <v>16168.7</v>
      </c>
      <c r="DE44" s="447">
        <f>Data!C177</f>
        <v>0</v>
      </c>
      <c r="DF44" s="447">
        <f>Data!D177</f>
        <v>0</v>
      </c>
      <c r="DG44" s="447">
        <f>Data!E177</f>
        <v>0</v>
      </c>
      <c r="DH44" s="832">
        <f>+DE44+DF44-DG44</f>
        <v>0</v>
      </c>
      <c r="DI44" s="818" t="str">
        <f>IF(DE44=0,"-",DH44/DE44)</f>
        <v>-</v>
      </c>
      <c r="DJ44" s="818" t="str">
        <f>IF(ISERROR(DG44/DE44),"-",DG44/DE44)</f>
        <v>-</v>
      </c>
      <c r="DK44" s="781">
        <f>DD44-DE44</f>
        <v>16168.7</v>
      </c>
      <c r="DL44" s="785">
        <f>DE44-DH44</f>
        <v>0</v>
      </c>
      <c r="DM44" s="777">
        <f>DD44-DH44</f>
        <v>16168.7</v>
      </c>
      <c r="DN44" s="25"/>
      <c r="DO44" s="228"/>
      <c r="DP44" s="415" t="s">
        <v>23</v>
      </c>
      <c r="DQ44" s="386">
        <f>BudgetedData!J20</f>
        <v>17264.150000000001</v>
      </c>
      <c r="DR44" s="447">
        <f>Data!C197</f>
        <v>0</v>
      </c>
      <c r="DS44" s="447">
        <f>Data!D197</f>
        <v>0</v>
      </c>
      <c r="DT44" s="447">
        <f>Data!E197</f>
        <v>0</v>
      </c>
      <c r="DU44" s="832">
        <f>+DR44+DS44-DT44</f>
        <v>0</v>
      </c>
      <c r="DV44" s="818" t="str">
        <f>IF(DR44=0,"-",DU44/DR44)</f>
        <v>-</v>
      </c>
      <c r="DW44" s="818" t="str">
        <f>IF(ISERROR(DT44/DR44),"-",DT44/DR44)</f>
        <v>-</v>
      </c>
      <c r="DX44" s="781">
        <f>DQ44-DR44</f>
        <v>17264.150000000001</v>
      </c>
      <c r="DY44" s="785">
        <f>DR44-DU44</f>
        <v>0</v>
      </c>
      <c r="DZ44" s="777">
        <f>DQ44-DU44</f>
        <v>17264.150000000001</v>
      </c>
      <c r="EA44" s="785"/>
      <c r="EB44" s="427"/>
      <c r="EC44" s="415" t="s">
        <v>23</v>
      </c>
      <c r="ED44" s="386">
        <f>BudgetedData!L20</f>
        <v>17288.38</v>
      </c>
      <c r="EE44" s="447">
        <f>Data!C217</f>
        <v>0</v>
      </c>
      <c r="EF44" s="447">
        <f>Data!D217</f>
        <v>0</v>
      </c>
      <c r="EG44" s="447">
        <f>Data!E217</f>
        <v>0</v>
      </c>
      <c r="EH44" s="832">
        <f>+EE44+EF44-EG44</f>
        <v>0</v>
      </c>
      <c r="EI44" s="818" t="str">
        <f>IF(EE44=0,"-",EH44/EE44)</f>
        <v>-</v>
      </c>
      <c r="EJ44" s="818" t="str">
        <f>IF(ISERROR(EG44/EE44),"-",EG44/EE44)</f>
        <v>-</v>
      </c>
      <c r="EK44" s="781">
        <f>ED44-EE44</f>
        <v>17288.38</v>
      </c>
      <c r="EL44" s="785">
        <f>EE44-EH44</f>
        <v>0</v>
      </c>
      <c r="EM44" s="777">
        <f>ED44-EH44</f>
        <v>17288.38</v>
      </c>
      <c r="EN44" s="25"/>
      <c r="EO44" s="792"/>
      <c r="EP44" s="415" t="s">
        <v>23</v>
      </c>
      <c r="EQ44" s="386">
        <f>BudgetedData!M20</f>
        <v>16710.37</v>
      </c>
      <c r="ER44" s="447">
        <f>Data!C237</f>
        <v>0</v>
      </c>
      <c r="ES44" s="447">
        <f>Data!D237</f>
        <v>0</v>
      </c>
      <c r="ET44" s="447">
        <f>Data!E237</f>
        <v>0</v>
      </c>
      <c r="EU44" s="832">
        <f>+ER44+ES44-ET44</f>
        <v>0</v>
      </c>
      <c r="EV44" s="818" t="str">
        <f>IF(ER44=0,"-",EU44/ER44)</f>
        <v>-</v>
      </c>
      <c r="EW44" s="818" t="str">
        <f>IF(ISERROR(ET44/ER44),"-",ET44/ER44)</f>
        <v>-</v>
      </c>
      <c r="EX44" s="781">
        <f>EQ44-ER44</f>
        <v>16710.37</v>
      </c>
      <c r="EY44" s="785">
        <f>ER44-EU44</f>
        <v>0</v>
      </c>
      <c r="EZ44" s="777">
        <f>EQ44-EU44</f>
        <v>16710.37</v>
      </c>
      <c r="FA44" s="25"/>
      <c r="FB44" s="25"/>
      <c r="FC44" s="785"/>
      <c r="FD44" s="25"/>
      <c r="FE44" s="211"/>
      <c r="FF44" s="211"/>
      <c r="FG44" s="25"/>
      <c r="FH44" s="25"/>
      <c r="FI44" s="25"/>
      <c r="FJ44" s="25"/>
    </row>
    <row r="45" spans="1:166" s="208" customFormat="1">
      <c r="A45" s="777"/>
      <c r="B45" s="826"/>
      <c r="C45" s="435" t="s">
        <v>24</v>
      </c>
      <c r="D45" s="386">
        <f>BudgetedData!B21</f>
        <v>19745.64</v>
      </c>
      <c r="E45" s="447">
        <f>Data!C21</f>
        <v>20357.550000000007</v>
      </c>
      <c r="F45" s="447">
        <f>Data!D21</f>
        <v>0</v>
      </c>
      <c r="G45" s="447">
        <f>Data!E21</f>
        <v>14.1</v>
      </c>
      <c r="H45" s="832">
        <f>+E45+F45-G45</f>
        <v>20343.450000000008</v>
      </c>
      <c r="I45" s="818">
        <f>IF(E45=0,"-",H45/E45)</f>
        <v>0.99930738227340721</v>
      </c>
      <c r="J45" s="818">
        <f>IF(ISERROR(G45/E45),"-",G45/E45)</f>
        <v>6.9261772659283633E-4</v>
      </c>
      <c r="K45" s="781">
        <f>D45-E45</f>
        <v>-611.91000000000713</v>
      </c>
      <c r="L45" s="785">
        <f>E45-H45</f>
        <v>14.099999999998545</v>
      </c>
      <c r="M45" s="777">
        <f>D45-H45</f>
        <v>-597.81000000000859</v>
      </c>
      <c r="N45" s="785"/>
      <c r="O45" s="793"/>
      <c r="P45" s="435" t="s">
        <v>24</v>
      </c>
      <c r="Q45" s="386">
        <f>BudgetedData!C21</f>
        <v>19756.25</v>
      </c>
      <c r="R45" s="447">
        <f>Data!C41</f>
        <v>20296.39</v>
      </c>
      <c r="S45" s="447">
        <f>Data!D41</f>
        <v>0</v>
      </c>
      <c r="T45" s="770">
        <f>Data!E41</f>
        <v>44.376643923406782</v>
      </c>
      <c r="U45" s="447">
        <f>+R45+S45-T45</f>
        <v>20252.013356076593</v>
      </c>
      <c r="V45" s="818">
        <f>IF(R45=0,"-",U45/R45)</f>
        <v>0.99781356960900902</v>
      </c>
      <c r="W45" s="818">
        <f>IF(ISERROR(T45/R45),"-",T45/R45)</f>
        <v>2.1864303909910473E-3</v>
      </c>
      <c r="X45" s="781">
        <f>Q45-R45</f>
        <v>-540.13999999999942</v>
      </c>
      <c r="Y45" s="785">
        <f>R45-U45</f>
        <v>44.376643923405936</v>
      </c>
      <c r="Z45" s="777">
        <f>Q45-U45</f>
        <v>-495.76335607659348</v>
      </c>
      <c r="AA45" s="25"/>
      <c r="AB45" s="783"/>
      <c r="AC45" s="435" t="s">
        <v>24</v>
      </c>
      <c r="AD45" s="386">
        <f>BudgetedData!D21</f>
        <v>18810.22</v>
      </c>
      <c r="AE45" s="447">
        <f>Data!C61</f>
        <v>18449.089999999997</v>
      </c>
      <c r="AF45" s="447">
        <f>Data!D61</f>
        <v>2.35</v>
      </c>
      <c r="AG45" s="447">
        <f>Data!E61</f>
        <v>26.854887882798927</v>
      </c>
      <c r="AH45" s="832">
        <f>+AE45+AF45-AG45</f>
        <v>18424.585112117195</v>
      </c>
      <c r="AI45" s="818">
        <f>IF(AE45=0,"-",AH45/AE45)</f>
        <v>0.99867175628267835</v>
      </c>
      <c r="AJ45" s="818">
        <f>IF(ISERROR(AG45/AE45),"-",AG45/AE45)</f>
        <v>1.4556212736128954E-3</v>
      </c>
      <c r="AK45" s="781">
        <f>AD45-AE45</f>
        <v>361.13000000000466</v>
      </c>
      <c r="AL45" s="785">
        <f>AE45-AH45</f>
        <v>24.504887882801995</v>
      </c>
      <c r="AM45" s="777">
        <f>AD45-AH45</f>
        <v>385.63488788280665</v>
      </c>
      <c r="AN45" s="25"/>
      <c r="AO45" s="226"/>
      <c r="AP45" s="435" t="s">
        <v>24</v>
      </c>
      <c r="AQ45" s="386">
        <f>BudgetedData!E21</f>
        <v>19513.27</v>
      </c>
      <c r="AR45" s="447">
        <f>Data!C81</f>
        <v>19225.689999999999</v>
      </c>
      <c r="AS45" s="447">
        <f>Data!D81</f>
        <v>0</v>
      </c>
      <c r="AT45" s="447">
        <f>Data!E81</f>
        <v>86.698103960488183</v>
      </c>
      <c r="AU45" s="832">
        <f>+AR45+AS45-AT45</f>
        <v>19138.991896039512</v>
      </c>
      <c r="AV45" s="818">
        <f>IF(AR45=0,"-",AU45/AR45)</f>
        <v>0.99549050754690793</v>
      </c>
      <c r="AW45" s="818">
        <f>IF(ISERROR(AT45/AR45),"-",AT45/AR45)</f>
        <v>4.5094924530920963E-3</v>
      </c>
      <c r="AX45" s="781">
        <f>AQ45-AR45</f>
        <v>287.58000000000175</v>
      </c>
      <c r="AY45" s="785">
        <f>AR45-AU45</f>
        <v>86.69810396048706</v>
      </c>
      <c r="AZ45" s="777">
        <f>AQ45-AU45</f>
        <v>374.27810396048881</v>
      </c>
      <c r="BA45" s="25"/>
      <c r="BB45" s="786"/>
      <c r="BC45" s="435" t="s">
        <v>24</v>
      </c>
      <c r="BD45" s="386">
        <f>BudgetedData!F21</f>
        <v>18820.830000000002</v>
      </c>
      <c r="BE45" s="447">
        <f>Data!C101</f>
        <v>0</v>
      </c>
      <c r="BF45" s="447">
        <f>Data!D101</f>
        <v>0</v>
      </c>
      <c r="BG45" s="447">
        <f>Data!E101</f>
        <v>0</v>
      </c>
      <c r="BH45" s="832">
        <f>+BE45+BF45-BG45</f>
        <v>0</v>
      </c>
      <c r="BI45" s="818" t="str">
        <f>IF(BE45=0,"-",BH45/BE45)</f>
        <v>-</v>
      </c>
      <c r="BJ45" s="818" t="str">
        <f>IF(ISERROR(BG45/BE45),"-",BG45/BE45)</f>
        <v>-</v>
      </c>
      <c r="BK45" s="781">
        <f>BD45-BE45</f>
        <v>18820.830000000002</v>
      </c>
      <c r="BL45" s="785">
        <f>BE45-BH45</f>
        <v>0</v>
      </c>
      <c r="BM45" s="777">
        <f>BD45-BH45</f>
        <v>18820.830000000002</v>
      </c>
      <c r="BN45" s="25"/>
      <c r="BO45" s="241"/>
      <c r="BP45" s="435" t="s">
        <v>24</v>
      </c>
      <c r="BQ45" s="386">
        <f>BudgetedData!G21</f>
        <v>19513.27</v>
      </c>
      <c r="BR45" s="447">
        <f>Data!C121</f>
        <v>0</v>
      </c>
      <c r="BS45" s="447">
        <f>Data!D121</f>
        <v>0</v>
      </c>
      <c r="BT45" s="447">
        <f>Data!E121</f>
        <v>0</v>
      </c>
      <c r="BU45" s="832">
        <f>+BR45+BS45-BT45</f>
        <v>0</v>
      </c>
      <c r="BV45" s="818" t="str">
        <f>IF(BR45=0,"-",BU45/BR45)</f>
        <v>-</v>
      </c>
      <c r="BW45" s="818" t="str">
        <f>IF(ISERROR(BT45/BR45),"-",BT45/BR45)</f>
        <v>-</v>
      </c>
      <c r="BX45" s="781">
        <f>BQ45-BR45</f>
        <v>19513.27</v>
      </c>
      <c r="BY45" s="785">
        <f>BR45-BU45</f>
        <v>0</v>
      </c>
      <c r="BZ45" s="777">
        <f>BQ45-BU45</f>
        <v>19513.27</v>
      </c>
      <c r="CA45" s="25"/>
      <c r="CB45" s="242"/>
      <c r="CC45" s="435" t="s">
        <v>24</v>
      </c>
      <c r="CD45" s="386">
        <f>BudgetedData!H21</f>
        <v>19518.63</v>
      </c>
      <c r="CE45" s="447">
        <f>Data!C141</f>
        <v>0</v>
      </c>
      <c r="CF45" s="447">
        <f>Data!D141</f>
        <v>0</v>
      </c>
      <c r="CG45" s="447">
        <f>Data!E141</f>
        <v>0</v>
      </c>
      <c r="CH45" s="832">
        <f>+CE45+CF45-CG45</f>
        <v>0</v>
      </c>
      <c r="CI45" s="818" t="str">
        <f>IF(CE45=0,"-",CH45/CE45)</f>
        <v>-</v>
      </c>
      <c r="CJ45" s="818" t="str">
        <f>IF(ISERROR(CG45/CE45),"-",CG45/CE45)</f>
        <v>-</v>
      </c>
      <c r="CK45" s="781">
        <f>CD45-CE45</f>
        <v>19518.63</v>
      </c>
      <c r="CL45" s="785">
        <f>CE45-CH45</f>
        <v>0</v>
      </c>
      <c r="CM45" s="777">
        <f>CD45-CH45</f>
        <v>19518.63</v>
      </c>
      <c r="CN45" s="211"/>
      <c r="CO45" s="227"/>
      <c r="CP45" s="435" t="s">
        <v>24</v>
      </c>
      <c r="CQ45" s="386">
        <f>BudgetedData!H21</f>
        <v>19518.63</v>
      </c>
      <c r="CR45" s="447">
        <f>Data!C161</f>
        <v>0</v>
      </c>
      <c r="CS45" s="447">
        <f>Data!D161</f>
        <v>0</v>
      </c>
      <c r="CT45" s="447">
        <f>Data!E161</f>
        <v>0</v>
      </c>
      <c r="CU45" s="832">
        <f>+CR45+CS45-CT45</f>
        <v>0</v>
      </c>
      <c r="CV45" s="818" t="str">
        <f>IF(CR45=0,"-",CU45/CR45)</f>
        <v>-</v>
      </c>
      <c r="CW45" s="818" t="str">
        <f>IF(ISERROR(CT45/CR45),"-",CT45/CR45)</f>
        <v>-</v>
      </c>
      <c r="CX45" s="781">
        <f>CQ45-CR45</f>
        <v>19518.63</v>
      </c>
      <c r="CY45" s="785">
        <f>CR45-CU45</f>
        <v>0</v>
      </c>
      <c r="CZ45" s="777">
        <f>CQ45-CU45</f>
        <v>19518.63</v>
      </c>
      <c r="DA45" s="211"/>
      <c r="DB45" s="382"/>
      <c r="DC45" s="435" t="s">
        <v>24</v>
      </c>
      <c r="DD45" s="386">
        <f>BudgetedData!I21</f>
        <v>18344.8</v>
      </c>
      <c r="DE45" s="447">
        <f>Data!C181</f>
        <v>0</v>
      </c>
      <c r="DF45" s="447">
        <f>Data!D181</f>
        <v>0</v>
      </c>
      <c r="DG45" s="447">
        <f>Data!E181</f>
        <v>0</v>
      </c>
      <c r="DH45" s="832">
        <f>+DE45+DF45-DG45</f>
        <v>0</v>
      </c>
      <c r="DI45" s="818" t="str">
        <f>IF(DE45=0,"-",DH45/DE45)</f>
        <v>-</v>
      </c>
      <c r="DJ45" s="818" t="str">
        <f>IF(ISERROR(DG45/DE45),"-",DG45/DE45)</f>
        <v>-</v>
      </c>
      <c r="DK45" s="781">
        <f>DD45-DE45</f>
        <v>18344.8</v>
      </c>
      <c r="DL45" s="785">
        <f>DE45-DH45</f>
        <v>0</v>
      </c>
      <c r="DM45" s="777">
        <f>DD45-DH45</f>
        <v>18344.8</v>
      </c>
      <c r="DN45" s="25"/>
      <c r="DO45" s="228"/>
      <c r="DP45" s="435" t="s">
        <v>24</v>
      </c>
      <c r="DQ45" s="386">
        <f>BudgetedData!J21</f>
        <v>19745.64</v>
      </c>
      <c r="DR45" s="447">
        <f>Data!C201</f>
        <v>0</v>
      </c>
      <c r="DS45" s="447">
        <f>Data!D201</f>
        <v>0</v>
      </c>
      <c r="DT45" s="447">
        <f>Data!E201</f>
        <v>0</v>
      </c>
      <c r="DU45" s="832">
        <f>+DR45+DS45-DT45</f>
        <v>0</v>
      </c>
      <c r="DV45" s="818" t="str">
        <f>IF(DR45=0,"-",DU45/DR45)</f>
        <v>-</v>
      </c>
      <c r="DW45" s="818" t="str">
        <f>IF(ISERROR(DT45/DR45),"-",DT45/DR45)</f>
        <v>-</v>
      </c>
      <c r="DX45" s="781">
        <f>DQ45-DR45</f>
        <v>19745.64</v>
      </c>
      <c r="DY45" s="785">
        <f>DR45-DU45</f>
        <v>0</v>
      </c>
      <c r="DZ45" s="777">
        <f>DQ45-DU45</f>
        <v>19745.64</v>
      </c>
      <c r="EA45" s="785"/>
      <c r="EB45" s="243"/>
      <c r="EC45" s="435" t="s">
        <v>24</v>
      </c>
      <c r="ED45" s="386">
        <f>BudgetedData!L21</f>
        <v>19291.509999999998</v>
      </c>
      <c r="EE45" s="447">
        <f>Data!C221</f>
        <v>0</v>
      </c>
      <c r="EF45" s="447">
        <f>Data!D221</f>
        <v>0</v>
      </c>
      <c r="EG45" s="447">
        <f>Data!E221</f>
        <v>0</v>
      </c>
      <c r="EH45" s="832">
        <f>+EE45+EF45-EG45</f>
        <v>0</v>
      </c>
      <c r="EI45" s="818" t="str">
        <f>IF(EE45=0,"-",EH45/EE45)</f>
        <v>-</v>
      </c>
      <c r="EJ45" s="818" t="str">
        <f>IF(ISERROR(EG45/EE45),"-",EG45/EE45)</f>
        <v>-</v>
      </c>
      <c r="EK45" s="781">
        <f>ED45-EE45</f>
        <v>19291.509999999998</v>
      </c>
      <c r="EL45" s="785">
        <f>EE45-EH45</f>
        <v>0</v>
      </c>
      <c r="EM45" s="777">
        <f>ED45-EH45</f>
        <v>19291.509999999998</v>
      </c>
      <c r="EN45" s="25"/>
      <c r="EO45" s="792"/>
      <c r="EP45" s="435" t="s">
        <v>24</v>
      </c>
      <c r="EQ45" s="386">
        <f>BudgetedData!M21</f>
        <v>19274.96</v>
      </c>
      <c r="ER45" s="447">
        <f>Data!C241</f>
        <v>0</v>
      </c>
      <c r="ES45" s="447">
        <f>Data!D241</f>
        <v>0</v>
      </c>
      <c r="ET45" s="447">
        <f>Data!E241</f>
        <v>0</v>
      </c>
      <c r="EU45" s="832">
        <f>+ER45+ES45-ET45</f>
        <v>0</v>
      </c>
      <c r="EV45" s="818" t="str">
        <f>IF(ER45=0,"-",EU45/ER45)</f>
        <v>-</v>
      </c>
      <c r="EW45" s="818" t="str">
        <f>IF(ISERROR(ET45/ER45),"-",ET45/ER45)</f>
        <v>-</v>
      </c>
      <c r="EX45" s="781">
        <f>EQ45-ER45</f>
        <v>19274.96</v>
      </c>
      <c r="EY45" s="785">
        <f>ER45-EU45</f>
        <v>0</v>
      </c>
      <c r="EZ45" s="777">
        <f>EQ45-EU45</f>
        <v>19274.96</v>
      </c>
      <c r="FA45" s="25"/>
      <c r="FB45" s="25"/>
      <c r="FC45" s="785"/>
      <c r="FD45" s="25"/>
      <c r="FE45" s="211"/>
      <c r="FF45" s="211"/>
      <c r="FG45" s="25"/>
      <c r="FH45" s="25"/>
      <c r="FI45" s="25"/>
      <c r="FJ45" s="25"/>
    </row>
    <row r="46" spans="1:166" s="208" customFormat="1">
      <c r="A46" s="777"/>
      <c r="B46" s="826"/>
      <c r="C46" s="415" t="s">
        <v>25</v>
      </c>
      <c r="D46" s="386">
        <f>BudgetedData!B22</f>
        <v>10837.71</v>
      </c>
      <c r="E46" s="447">
        <f>Data!C19</f>
        <v>9492.9599999999991</v>
      </c>
      <c r="F46" s="447">
        <f>Data!D19</f>
        <v>0</v>
      </c>
      <c r="G46" s="447">
        <f>Data!E19</f>
        <v>8.9093706913111497</v>
      </c>
      <c r="H46" s="832">
        <f>+E46+F46-G46</f>
        <v>9484.0506293086873</v>
      </c>
      <c r="I46" s="818">
        <f t="shared" ref="I46:I47" si="234">IF(E46=0,"-",H46/E46)</f>
        <v>0.99906147601050554</v>
      </c>
      <c r="J46" s="818">
        <f t="shared" ref="J46:J49" si="235">IF(ISERROR(G46/E46),"-",G46/E46)</f>
        <v>9.3852398949444116E-4</v>
      </c>
      <c r="K46" s="781">
        <f>D46-E46</f>
        <v>1344.75</v>
      </c>
      <c r="L46" s="785">
        <f>E46-H46</f>
        <v>8.9093706913117785</v>
      </c>
      <c r="M46" s="777">
        <f>D46-H46</f>
        <v>1353.6593706913118</v>
      </c>
      <c r="N46" s="785"/>
      <c r="O46" s="793"/>
      <c r="P46" s="415" t="s">
        <v>25</v>
      </c>
      <c r="Q46" s="386">
        <f>BudgetedData!C22</f>
        <v>10857.72</v>
      </c>
      <c r="R46" s="447">
        <f>Data!C39</f>
        <v>9454.01</v>
      </c>
      <c r="S46" s="447">
        <f>Data!D39</f>
        <v>0</v>
      </c>
      <c r="T46" s="770">
        <f>Data!E39</f>
        <v>17.76670104140279</v>
      </c>
      <c r="U46" s="447">
        <f>+R46+S46-T46</f>
        <v>9436.2432989585977</v>
      </c>
      <c r="V46" s="818">
        <f t="shared" ref="V46:V47" si="236">IF(R46=0,"-",U46/R46)</f>
        <v>0.99812072326542889</v>
      </c>
      <c r="W46" s="818">
        <f t="shared" ref="W46:W47" si="237">IF(ISERROR(T46/R46),"-",T46/R46)</f>
        <v>1.8792767345711279E-3</v>
      </c>
      <c r="X46" s="781">
        <f t="shared" ref="X46:X47" si="238">Q46-R46</f>
        <v>1403.7099999999991</v>
      </c>
      <c r="Y46" s="785">
        <f t="shared" ref="Y46:Y47" si="239">R46-U46</f>
        <v>17.766701041402484</v>
      </c>
      <c r="Z46" s="777">
        <f t="shared" ref="Z46:Z47" si="240">Q46-U46</f>
        <v>1421.4767010414016</v>
      </c>
      <c r="AA46" s="25"/>
      <c r="AB46" s="783"/>
      <c r="AC46" s="415" t="s">
        <v>25</v>
      </c>
      <c r="AD46" s="386">
        <f>BudgetedData!D22</f>
        <v>10260.75</v>
      </c>
      <c r="AE46" s="447">
        <f>Data!C59</f>
        <v>8928.5499999999993</v>
      </c>
      <c r="AF46" s="447">
        <f>Data!D59</f>
        <v>0</v>
      </c>
      <c r="AG46" s="447">
        <f>Data!E59</f>
        <v>11.005653543779937</v>
      </c>
      <c r="AH46" s="832">
        <f>+AE46+AF46-AG46</f>
        <v>8917.5443464562195</v>
      </c>
      <c r="AI46" s="818">
        <f t="shared" ref="AI46:AI47" si="241">IF(AE46=0,"-",AH46/AE46)</f>
        <v>0.99876736384476994</v>
      </c>
      <c r="AJ46" s="818">
        <f t="shared" ref="AJ46:AJ47" si="242">IF(ISERROR(AG46/AE46),"-",AG46/AE46)</f>
        <v>1.2326361552301257E-3</v>
      </c>
      <c r="AK46" s="781">
        <f t="shared" ref="AK46:AK47" si="243">AD46-AE46</f>
        <v>1332.2000000000007</v>
      </c>
      <c r="AL46" s="785">
        <f t="shared" ref="AL46:AL47" si="244">AE46-AH46</f>
        <v>11.005653543779772</v>
      </c>
      <c r="AM46" s="777">
        <f t="shared" ref="AM46:AM47" si="245">AD46-AH46</f>
        <v>1343.2056535437805</v>
      </c>
      <c r="AN46" s="25"/>
      <c r="AO46" s="226"/>
      <c r="AP46" s="415" t="s">
        <v>25</v>
      </c>
      <c r="AQ46" s="386">
        <f>BudgetedData!E22</f>
        <v>10659.51</v>
      </c>
      <c r="AR46" s="447">
        <f>Data!C79</f>
        <v>9827.8999999999978</v>
      </c>
      <c r="AS46" s="447">
        <f>Data!D79</f>
        <v>0</v>
      </c>
      <c r="AT46" s="447">
        <f>Data!E79</f>
        <v>14.292234712358447</v>
      </c>
      <c r="AU46" s="832">
        <f>+AR46+AS46-AT46</f>
        <v>9813.6077652876393</v>
      </c>
      <c r="AV46" s="818">
        <f t="shared" ref="AV46:AV47" si="246">IF(AR46=0,"-",AU46/AR46)</f>
        <v>0.99854574886676106</v>
      </c>
      <c r="AW46" s="818">
        <f t="shared" ref="AW46:AW47" si="247">IF(ISERROR(AT46/AR46),"-",AT46/AR46)</f>
        <v>1.4542511332388862E-3</v>
      </c>
      <c r="AX46" s="781">
        <f t="shared" ref="AX46:AX47" si="248">AQ46-AR46</f>
        <v>831.6100000000024</v>
      </c>
      <c r="AY46" s="785">
        <f t="shared" ref="AY46:AY47" si="249">AR46-AU46</f>
        <v>14.29223471235855</v>
      </c>
      <c r="AZ46" s="777">
        <f t="shared" ref="AZ46:AZ47" si="250">AQ46-AU46</f>
        <v>845.90223471236095</v>
      </c>
      <c r="BA46" s="25"/>
      <c r="BB46" s="786"/>
      <c r="BC46" s="415" t="s">
        <v>25</v>
      </c>
      <c r="BD46" s="386">
        <f>BudgetedData!F22</f>
        <v>10280.76</v>
      </c>
      <c r="BE46" s="447">
        <f>Data!C99</f>
        <v>0</v>
      </c>
      <c r="BF46" s="447">
        <f>Data!D99</f>
        <v>0</v>
      </c>
      <c r="BG46" s="447">
        <f>Data!E99</f>
        <v>0</v>
      </c>
      <c r="BH46" s="832">
        <f>+BE46+BF46-BG46</f>
        <v>0</v>
      </c>
      <c r="BI46" s="818" t="str">
        <f t="shared" ref="BI46:BI47" si="251">IF(BE46=0,"-",BH46/BE46)</f>
        <v>-</v>
      </c>
      <c r="BJ46" s="818" t="str">
        <f t="shared" ref="BJ46:BJ47" si="252">IF(ISERROR(BG46/BE46),"-",BG46/BE46)</f>
        <v>-</v>
      </c>
      <c r="BK46" s="781">
        <f t="shared" ref="BK46:BK47" si="253">BD46-BE46</f>
        <v>10280.76</v>
      </c>
      <c r="BL46" s="785">
        <f t="shared" ref="BL46:BL47" si="254">BE46-BH46</f>
        <v>0</v>
      </c>
      <c r="BM46" s="777">
        <f t="shared" ref="BM46:BM47" si="255">BD46-BH46</f>
        <v>10280.76</v>
      </c>
      <c r="BN46" s="25"/>
      <c r="BO46" s="241"/>
      <c r="BP46" s="415" t="s">
        <v>25</v>
      </c>
      <c r="BQ46" s="386">
        <f>BudgetedData!G22</f>
        <v>10659.51</v>
      </c>
      <c r="BR46" s="447">
        <f>Data!C119</f>
        <v>0</v>
      </c>
      <c r="BS46" s="447">
        <f>Data!D119</f>
        <v>0</v>
      </c>
      <c r="BT46" s="447">
        <f>Data!E119</f>
        <v>0</v>
      </c>
      <c r="BU46" s="832">
        <f>+BR46+BS46-BT46</f>
        <v>0</v>
      </c>
      <c r="BV46" s="818" t="str">
        <f t="shared" ref="BV46:BV47" si="256">IF(BR46=0,"-",BU46/BR46)</f>
        <v>-</v>
      </c>
      <c r="BW46" s="818" t="str">
        <f t="shared" ref="BW46:BW47" si="257">IF(ISERROR(BT46/BR46),"-",BT46/BR46)</f>
        <v>-</v>
      </c>
      <c r="BX46" s="781">
        <f t="shared" ref="BX46:BX47" si="258">BQ46-BR46</f>
        <v>10659.51</v>
      </c>
      <c r="BY46" s="785">
        <f t="shared" ref="BY46:BY47" si="259">BR46-BU46</f>
        <v>0</v>
      </c>
      <c r="BZ46" s="777">
        <f t="shared" ref="BZ46:BZ47" si="260">BQ46-BU46</f>
        <v>10659.51</v>
      </c>
      <c r="CA46" s="25"/>
      <c r="CB46" s="242"/>
      <c r="CC46" s="415" t="s">
        <v>25</v>
      </c>
      <c r="CD46" s="386">
        <f>BudgetedData!H22</f>
        <v>10669.51</v>
      </c>
      <c r="CE46" s="447">
        <f>Data!C139</f>
        <v>0</v>
      </c>
      <c r="CF46" s="447">
        <f>Data!D139</f>
        <v>0</v>
      </c>
      <c r="CG46" s="447">
        <f>Data!E139</f>
        <v>0</v>
      </c>
      <c r="CH46" s="832">
        <f>+CE46+CF46-CG46</f>
        <v>0</v>
      </c>
      <c r="CI46" s="818" t="str">
        <f t="shared" ref="CI46:CI47" si="261">IF(CE46=0,"-",CH46/CE46)</f>
        <v>-</v>
      </c>
      <c r="CJ46" s="818" t="str">
        <f t="shared" ref="CJ46:CJ47" si="262">IF(ISERROR(CG46/CE46),"-",CG46/CE46)</f>
        <v>-</v>
      </c>
      <c r="CK46" s="781">
        <f t="shared" ref="CK46:CK47" si="263">CD46-CE46</f>
        <v>10669.51</v>
      </c>
      <c r="CL46" s="785">
        <f t="shared" ref="CL46:CL47" si="264">CE46-CH46</f>
        <v>0</v>
      </c>
      <c r="CM46" s="777">
        <f t="shared" ref="CM46:CM47" si="265">CD46-CH46</f>
        <v>10669.51</v>
      </c>
      <c r="CN46" s="211"/>
      <c r="CO46" s="227"/>
      <c r="CP46" s="415" t="s">
        <v>25</v>
      </c>
      <c r="CQ46" s="386">
        <f>BudgetedData!H22</f>
        <v>10669.51</v>
      </c>
      <c r="CR46" s="447">
        <f>Data!C159</f>
        <v>0</v>
      </c>
      <c r="CS46" s="447">
        <f>Data!D159</f>
        <v>0</v>
      </c>
      <c r="CT46" s="447">
        <f>Data!E159</f>
        <v>0</v>
      </c>
      <c r="CU46" s="832">
        <f>+CR46+CS46-CT46</f>
        <v>0</v>
      </c>
      <c r="CV46" s="818" t="str">
        <f t="shared" ref="CV46:CV47" si="266">IF(CR46=0,"-",CU46/CR46)</f>
        <v>-</v>
      </c>
      <c r="CW46" s="818" t="str">
        <f t="shared" ref="CW46:CW47" si="267">IF(ISERROR(CT46/CR46),"-",CT46/CR46)</f>
        <v>-</v>
      </c>
      <c r="CX46" s="781">
        <f t="shared" ref="CX46:CX47" si="268">CQ46-CR46</f>
        <v>10669.51</v>
      </c>
      <c r="CY46" s="785">
        <f t="shared" ref="CY46:CY47" si="269">CR46-CU46</f>
        <v>0</v>
      </c>
      <c r="CZ46" s="777">
        <f t="shared" ref="CZ46:CZ47" si="270">CQ46-CU46</f>
        <v>10669.51</v>
      </c>
      <c r="DA46" s="211"/>
      <c r="DB46" s="382"/>
      <c r="DC46" s="415" t="s">
        <v>25</v>
      </c>
      <c r="DD46" s="386">
        <f>BudgetedData!I22</f>
        <v>10050.200000000001</v>
      </c>
      <c r="DE46" s="447">
        <f>Data!C179</f>
        <v>0</v>
      </c>
      <c r="DF46" s="447">
        <f>Data!D179</f>
        <v>0</v>
      </c>
      <c r="DG46" s="447">
        <f>Data!E179</f>
        <v>0</v>
      </c>
      <c r="DH46" s="832">
        <f>+DE46+DF46-DG46</f>
        <v>0</v>
      </c>
      <c r="DI46" s="818" t="str">
        <f t="shared" ref="DI46:DI47" si="271">IF(DE46=0,"-",DH46/DE46)</f>
        <v>-</v>
      </c>
      <c r="DJ46" s="818" t="str">
        <f t="shared" ref="DJ46:DJ47" si="272">IF(ISERROR(DG46/DE46),"-",DG46/DE46)</f>
        <v>-</v>
      </c>
      <c r="DK46" s="781">
        <f t="shared" ref="DK46:DK47" si="273">DD46-DE46</f>
        <v>10050.200000000001</v>
      </c>
      <c r="DL46" s="785">
        <f t="shared" ref="DL46:DL47" si="274">DE46-DH46</f>
        <v>0</v>
      </c>
      <c r="DM46" s="777">
        <f t="shared" ref="DM46:DM47" si="275">DD46-DH46</f>
        <v>10050.200000000001</v>
      </c>
      <c r="DN46" s="25"/>
      <c r="DO46" s="228"/>
      <c r="DP46" s="415" t="s">
        <v>25</v>
      </c>
      <c r="DQ46" s="386">
        <f>BudgetedData!J22</f>
        <v>10837.71</v>
      </c>
      <c r="DR46" s="447">
        <f>Data!C199</f>
        <v>0</v>
      </c>
      <c r="DS46" s="447">
        <f>Data!D199</f>
        <v>0</v>
      </c>
      <c r="DT46" s="447">
        <f>Data!E199</f>
        <v>0</v>
      </c>
      <c r="DU46" s="832">
        <f>+DR46+DS46-DT46</f>
        <v>0</v>
      </c>
      <c r="DV46" s="818" t="str">
        <f t="shared" ref="DV46:DV47" si="276">IF(DR46=0,"-",DU46/DR46)</f>
        <v>-</v>
      </c>
      <c r="DW46" s="818" t="str">
        <f t="shared" ref="DW46:DW47" si="277">IF(ISERROR(DT46/DR46),"-",DT46/DR46)</f>
        <v>-</v>
      </c>
      <c r="DX46" s="781">
        <f>DQ46-DR46</f>
        <v>10837.71</v>
      </c>
      <c r="DY46" s="785">
        <f>DR46-DU46</f>
        <v>0</v>
      </c>
      <c r="DZ46" s="777">
        <f>DQ46-DU46</f>
        <v>10837.71</v>
      </c>
      <c r="EA46" s="785"/>
      <c r="EB46" s="243"/>
      <c r="EC46" s="415" t="s">
        <v>25</v>
      </c>
      <c r="ED46" s="386">
        <f>BudgetedData!L22</f>
        <v>10501.32</v>
      </c>
      <c r="EE46" s="447">
        <f>Data!C219</f>
        <v>0</v>
      </c>
      <c r="EF46" s="447">
        <f>Data!D219</f>
        <v>0</v>
      </c>
      <c r="EG46" s="447">
        <f>Data!E219</f>
        <v>0</v>
      </c>
      <c r="EH46" s="832">
        <f>+EE46+EF46-EG46</f>
        <v>0</v>
      </c>
      <c r="EI46" s="818" t="str">
        <f t="shared" ref="EI46:EI47" si="278">IF(EE46=0,"-",EH46/EE46)</f>
        <v>-</v>
      </c>
      <c r="EJ46" s="818" t="str">
        <f t="shared" ref="EJ46:EJ47" si="279">IF(ISERROR(EG46/EE46),"-",EG46/EE46)</f>
        <v>-</v>
      </c>
      <c r="EK46" s="781">
        <f t="shared" ref="EK46:EK47" si="280">ED46-EE46</f>
        <v>10501.32</v>
      </c>
      <c r="EL46" s="785">
        <f t="shared" ref="EL46:EL47" si="281">EE46-EH46</f>
        <v>0</v>
      </c>
      <c r="EM46" s="777">
        <f t="shared" ref="EM46:EM47" si="282">ED46-EH46</f>
        <v>10501.32</v>
      </c>
      <c r="EN46" s="25"/>
      <c r="EO46" s="792"/>
      <c r="EP46" s="415" t="s">
        <v>25</v>
      </c>
      <c r="EQ46" s="386">
        <f>BudgetedData!M22</f>
        <v>10617.15</v>
      </c>
      <c r="ER46" s="447">
        <f>Data!C239</f>
        <v>0</v>
      </c>
      <c r="ES46" s="447">
        <f>Data!D239</f>
        <v>0</v>
      </c>
      <c r="ET46" s="447">
        <f>Data!E239</f>
        <v>0</v>
      </c>
      <c r="EU46" s="832">
        <f>+ER46+ES46-ET46</f>
        <v>0</v>
      </c>
      <c r="EV46" s="818" t="str">
        <f t="shared" ref="EV46:EV47" si="283">IF(ER46=0,"-",EU46/ER46)</f>
        <v>-</v>
      </c>
      <c r="EW46" s="818" t="str">
        <f t="shared" ref="EW46:EW47" si="284">IF(ISERROR(ET46/ER46),"-",ET46/ER46)</f>
        <v>-</v>
      </c>
      <c r="EX46" s="781">
        <f t="shared" ref="EX46:EX49" si="285">EQ46-ER46</f>
        <v>10617.15</v>
      </c>
      <c r="EY46" s="785">
        <f t="shared" ref="EY46:EY49" si="286">ER46-EU46</f>
        <v>0</v>
      </c>
      <c r="EZ46" s="777">
        <f t="shared" ref="EZ46:EZ49" si="287">EQ46-EU46</f>
        <v>10617.15</v>
      </c>
      <c r="FA46" s="25"/>
      <c r="FB46" s="25"/>
      <c r="FC46" s="785"/>
      <c r="FD46" s="25"/>
      <c r="FE46" s="211"/>
      <c r="FF46" s="211"/>
      <c r="FG46" s="25"/>
      <c r="FH46" s="25"/>
      <c r="FI46" s="25"/>
      <c r="FJ46" s="25"/>
    </row>
    <row r="47" spans="1:166" s="254" customFormat="1">
      <c r="A47" s="777"/>
      <c r="B47" s="826"/>
      <c r="C47" s="415" t="s">
        <v>26</v>
      </c>
      <c r="D47" s="386">
        <f>BudgetedData!B23</f>
        <v>22498.62</v>
      </c>
      <c r="E47" s="447">
        <f>Data!C20</f>
        <v>23861.190000000002</v>
      </c>
      <c r="F47" s="447">
        <f>Data!D20</f>
        <v>0</v>
      </c>
      <c r="G47" s="447">
        <f>Data!E20</f>
        <v>30.912200282820212</v>
      </c>
      <c r="H47" s="832">
        <f>+E47+F47-G47</f>
        <v>23830.277799717183</v>
      </c>
      <c r="I47" s="818">
        <f t="shared" si="234"/>
        <v>0.99870449879981593</v>
      </c>
      <c r="J47" s="818">
        <f t="shared" si="235"/>
        <v>1.2955012001840734E-3</v>
      </c>
      <c r="K47" s="781">
        <f>D47-E47</f>
        <v>-1362.5700000000033</v>
      </c>
      <c r="L47" s="785">
        <f>E47-H47</f>
        <v>30.912200282818958</v>
      </c>
      <c r="M47" s="777">
        <f>D47-H47</f>
        <v>-1331.6577997171844</v>
      </c>
      <c r="N47" s="785"/>
      <c r="O47" s="793"/>
      <c r="P47" s="415" t="s">
        <v>26</v>
      </c>
      <c r="Q47" s="386">
        <f>BudgetedData!C23</f>
        <v>22541.82</v>
      </c>
      <c r="R47" s="447">
        <f>Data!C40</f>
        <v>23991.099999999995</v>
      </c>
      <c r="S47" s="447">
        <f>Data!D40</f>
        <v>0</v>
      </c>
      <c r="T47" s="770">
        <f>Data!E40</f>
        <v>178.04779538487736</v>
      </c>
      <c r="U47" s="447">
        <f>+R47+S47-T47</f>
        <v>23813.052204615116</v>
      </c>
      <c r="V47" s="818">
        <f t="shared" si="236"/>
        <v>0.99257858975266333</v>
      </c>
      <c r="W47" s="818">
        <f t="shared" si="237"/>
        <v>7.4214102473366119E-3</v>
      </c>
      <c r="X47" s="781">
        <f t="shared" si="238"/>
        <v>-1449.2799999999952</v>
      </c>
      <c r="Y47" s="785">
        <f t="shared" si="239"/>
        <v>178.04779538487855</v>
      </c>
      <c r="Z47" s="777">
        <f t="shared" si="240"/>
        <v>-1271.2322046151166</v>
      </c>
      <c r="AA47" s="25"/>
      <c r="AB47" s="783"/>
      <c r="AC47" s="415" t="s">
        <v>26</v>
      </c>
      <c r="AD47" s="386">
        <f>BudgetedData!D23</f>
        <v>21264.34</v>
      </c>
      <c r="AE47" s="447">
        <f>Data!C60</f>
        <v>23193.85</v>
      </c>
      <c r="AF47" s="447">
        <f>Data!D60</f>
        <v>0</v>
      </c>
      <c r="AG47" s="447">
        <f>Data!E60</f>
        <v>118.88486227721329</v>
      </c>
      <c r="AH47" s="832">
        <f>+AE47+AF47-AG47</f>
        <v>23074.965137722786</v>
      </c>
      <c r="AI47" s="818">
        <f t="shared" si="241"/>
        <v>0.99487429373401948</v>
      </c>
      <c r="AJ47" s="818">
        <f t="shared" si="242"/>
        <v>5.1257062659805638E-3</v>
      </c>
      <c r="AK47" s="781">
        <f t="shared" si="243"/>
        <v>-1929.5099999999984</v>
      </c>
      <c r="AL47" s="785">
        <f t="shared" si="244"/>
        <v>118.88486227721296</v>
      </c>
      <c r="AM47" s="777">
        <f t="shared" si="245"/>
        <v>-1810.6251377227854</v>
      </c>
      <c r="AN47" s="25"/>
      <c r="AO47" s="226"/>
      <c r="AP47" s="415" t="s">
        <v>26</v>
      </c>
      <c r="AQ47" s="386">
        <f>BudgetedData!E23</f>
        <v>22100.2</v>
      </c>
      <c r="AR47" s="447">
        <f>Data!C80</f>
        <v>24931.47</v>
      </c>
      <c r="AS47" s="447">
        <f>Data!D80</f>
        <v>0</v>
      </c>
      <c r="AT47" s="447">
        <f>Data!E80</f>
        <v>98.082685651999569</v>
      </c>
      <c r="AU47" s="832">
        <f>+AR47+AS47-AT47</f>
        <v>24833.387314348001</v>
      </c>
      <c r="AV47" s="818">
        <f t="shared" si="246"/>
        <v>0.9960659084421416</v>
      </c>
      <c r="AW47" s="818">
        <f t="shared" si="247"/>
        <v>3.9340915578583843E-3</v>
      </c>
      <c r="AX47" s="781">
        <f t="shared" si="248"/>
        <v>-2831.2700000000004</v>
      </c>
      <c r="AY47" s="785">
        <f t="shared" si="249"/>
        <v>98.082685651999782</v>
      </c>
      <c r="AZ47" s="777">
        <f t="shared" si="250"/>
        <v>-2733.1873143480007</v>
      </c>
      <c r="BA47" s="25"/>
      <c r="BB47" s="786"/>
      <c r="BC47" s="415" t="s">
        <v>26</v>
      </c>
      <c r="BD47" s="386">
        <f>BudgetedData!F23</f>
        <v>21307.54</v>
      </c>
      <c r="BE47" s="447">
        <f>Data!C100</f>
        <v>0</v>
      </c>
      <c r="BF47" s="447">
        <f>Data!D100</f>
        <v>0</v>
      </c>
      <c r="BG47" s="447">
        <f>Data!E100</f>
        <v>0</v>
      </c>
      <c r="BH47" s="832">
        <f>+BE47+BF47-BG47</f>
        <v>0</v>
      </c>
      <c r="BI47" s="818" t="str">
        <f t="shared" si="251"/>
        <v>-</v>
      </c>
      <c r="BJ47" s="818" t="str">
        <f t="shared" si="252"/>
        <v>-</v>
      </c>
      <c r="BK47" s="781">
        <f t="shared" si="253"/>
        <v>21307.54</v>
      </c>
      <c r="BL47" s="785">
        <f t="shared" si="254"/>
        <v>0</v>
      </c>
      <c r="BM47" s="777">
        <f t="shared" si="255"/>
        <v>21307.54</v>
      </c>
      <c r="BN47" s="25"/>
      <c r="BO47" s="241"/>
      <c r="BP47" s="415" t="s">
        <v>26</v>
      </c>
      <c r="BQ47" s="386">
        <f>BudgetedData!G23</f>
        <v>22100.2</v>
      </c>
      <c r="BR47" s="447">
        <f>Data!C120</f>
        <v>0</v>
      </c>
      <c r="BS47" s="447">
        <f>Data!D120</f>
        <v>0</v>
      </c>
      <c r="BT47" s="447">
        <f>Data!E120</f>
        <v>0</v>
      </c>
      <c r="BU47" s="832">
        <f>+BR47+BS47-BT47</f>
        <v>0</v>
      </c>
      <c r="BV47" s="818" t="str">
        <f t="shared" si="256"/>
        <v>-</v>
      </c>
      <c r="BW47" s="818" t="str">
        <f t="shared" si="257"/>
        <v>-</v>
      </c>
      <c r="BX47" s="781">
        <f t="shared" si="258"/>
        <v>22100.2</v>
      </c>
      <c r="BY47" s="785">
        <f t="shared" si="259"/>
        <v>0</v>
      </c>
      <c r="BZ47" s="777">
        <f t="shared" si="260"/>
        <v>22100.2</v>
      </c>
      <c r="CA47" s="25"/>
      <c r="CB47" s="242"/>
      <c r="CC47" s="415" t="s">
        <v>26</v>
      </c>
      <c r="CD47" s="386">
        <f>BudgetedData!H23</f>
        <v>22121.75</v>
      </c>
      <c r="CE47" s="447">
        <f>Data!C140</f>
        <v>0</v>
      </c>
      <c r="CF47" s="447">
        <f>Data!D140</f>
        <v>0</v>
      </c>
      <c r="CG47" s="447">
        <f>Data!E140</f>
        <v>0</v>
      </c>
      <c r="CH47" s="832">
        <f>+CE47+CF47-CG47</f>
        <v>0</v>
      </c>
      <c r="CI47" s="818" t="str">
        <f t="shared" si="261"/>
        <v>-</v>
      </c>
      <c r="CJ47" s="818" t="str">
        <f t="shared" si="262"/>
        <v>-</v>
      </c>
      <c r="CK47" s="781">
        <f t="shared" si="263"/>
        <v>22121.75</v>
      </c>
      <c r="CL47" s="785">
        <f t="shared" si="264"/>
        <v>0</v>
      </c>
      <c r="CM47" s="777">
        <f t="shared" si="265"/>
        <v>22121.75</v>
      </c>
      <c r="CN47" s="251"/>
      <c r="CO47" s="227"/>
      <c r="CP47" s="415" t="s">
        <v>26</v>
      </c>
      <c r="CQ47" s="386">
        <f>BudgetedData!H23</f>
        <v>22121.75</v>
      </c>
      <c r="CR47" s="447">
        <f>Data!C160</f>
        <v>0</v>
      </c>
      <c r="CS47" s="447">
        <f>Data!D160</f>
        <v>0</v>
      </c>
      <c r="CT47" s="447">
        <f>Data!E160</f>
        <v>0</v>
      </c>
      <c r="CU47" s="832">
        <f>+CR47+CS47-CT47</f>
        <v>0</v>
      </c>
      <c r="CV47" s="818" t="str">
        <f t="shared" si="266"/>
        <v>-</v>
      </c>
      <c r="CW47" s="818" t="str">
        <f t="shared" si="267"/>
        <v>-</v>
      </c>
      <c r="CX47" s="781">
        <f t="shared" si="268"/>
        <v>22121.75</v>
      </c>
      <c r="CY47" s="785">
        <f t="shared" si="269"/>
        <v>0</v>
      </c>
      <c r="CZ47" s="777">
        <f t="shared" si="270"/>
        <v>22121.75</v>
      </c>
      <c r="DA47" s="211"/>
      <c r="DB47" s="382"/>
      <c r="DC47" s="415" t="s">
        <v>26</v>
      </c>
      <c r="DD47" s="386">
        <f>BudgetedData!I23</f>
        <v>20848.55</v>
      </c>
      <c r="DE47" s="447">
        <f>Data!C180</f>
        <v>0</v>
      </c>
      <c r="DF47" s="447">
        <f>Data!D180</f>
        <v>0</v>
      </c>
      <c r="DG47" s="447">
        <f>Data!E180</f>
        <v>0</v>
      </c>
      <c r="DH47" s="832">
        <f>+DE47+DF47-DG47</f>
        <v>0</v>
      </c>
      <c r="DI47" s="818" t="str">
        <f t="shared" si="271"/>
        <v>-</v>
      </c>
      <c r="DJ47" s="818" t="str">
        <f t="shared" si="272"/>
        <v>-</v>
      </c>
      <c r="DK47" s="781">
        <f t="shared" si="273"/>
        <v>20848.55</v>
      </c>
      <c r="DL47" s="785">
        <f t="shared" si="274"/>
        <v>0</v>
      </c>
      <c r="DM47" s="777">
        <f t="shared" si="275"/>
        <v>20848.55</v>
      </c>
      <c r="DN47" s="25"/>
      <c r="DO47" s="228"/>
      <c r="DP47" s="415" t="s">
        <v>26</v>
      </c>
      <c r="DQ47" s="386">
        <f>BudgetedData!J23</f>
        <v>22498.62</v>
      </c>
      <c r="DR47" s="447">
        <f>Data!C200</f>
        <v>0</v>
      </c>
      <c r="DS47" s="447">
        <f>Data!D200</f>
        <v>0</v>
      </c>
      <c r="DT47" s="447">
        <f>Data!E200</f>
        <v>0</v>
      </c>
      <c r="DU47" s="832">
        <f>+DR47+DS47-DT47</f>
        <v>0</v>
      </c>
      <c r="DV47" s="818" t="str">
        <f t="shared" si="276"/>
        <v>-</v>
      </c>
      <c r="DW47" s="818" t="str">
        <f t="shared" si="277"/>
        <v>-</v>
      </c>
      <c r="DX47" s="781">
        <f>DQ47-DR47</f>
        <v>22498.62</v>
      </c>
      <c r="DY47" s="785">
        <f>DR47-DU47</f>
        <v>0</v>
      </c>
      <c r="DZ47" s="777">
        <f>DQ47-DU47</f>
        <v>22498.62</v>
      </c>
      <c r="EA47" s="785"/>
      <c r="EB47" s="243"/>
      <c r="EC47" s="415" t="s">
        <v>26</v>
      </c>
      <c r="ED47" s="386">
        <f>BudgetedData!L23</f>
        <v>21744.97</v>
      </c>
      <c r="EE47" s="447">
        <f>Data!C220</f>
        <v>0</v>
      </c>
      <c r="EF47" s="447">
        <f>Data!D220</f>
        <v>0</v>
      </c>
      <c r="EG47" s="447">
        <f>Data!E220</f>
        <v>0</v>
      </c>
      <c r="EH47" s="832">
        <f>+EE47+EF47-EG47</f>
        <v>0</v>
      </c>
      <c r="EI47" s="818" t="str">
        <f t="shared" si="278"/>
        <v>-</v>
      </c>
      <c r="EJ47" s="818" t="str">
        <f t="shared" si="279"/>
        <v>-</v>
      </c>
      <c r="EK47" s="781">
        <f t="shared" si="280"/>
        <v>21744.97</v>
      </c>
      <c r="EL47" s="785">
        <f t="shared" si="281"/>
        <v>0</v>
      </c>
      <c r="EM47" s="777">
        <f t="shared" si="282"/>
        <v>21744.97</v>
      </c>
      <c r="EN47" s="25"/>
      <c r="EO47" s="792"/>
      <c r="EP47" s="415" t="s">
        <v>26</v>
      </c>
      <c r="EQ47" s="386">
        <f>BudgetedData!M23</f>
        <v>22061.19</v>
      </c>
      <c r="ER47" s="447">
        <f>Data!C240</f>
        <v>0</v>
      </c>
      <c r="ES47" s="447">
        <f>Data!D240</f>
        <v>0</v>
      </c>
      <c r="ET47" s="447">
        <f>Data!E240</f>
        <v>0</v>
      </c>
      <c r="EU47" s="832">
        <f>+ER47+ES47-ET47</f>
        <v>0</v>
      </c>
      <c r="EV47" s="818" t="str">
        <f t="shared" si="283"/>
        <v>-</v>
      </c>
      <c r="EW47" s="818" t="str">
        <f t="shared" si="284"/>
        <v>-</v>
      </c>
      <c r="EX47" s="781">
        <f t="shared" si="285"/>
        <v>22061.19</v>
      </c>
      <c r="EY47" s="785">
        <f t="shared" si="286"/>
        <v>0</v>
      </c>
      <c r="EZ47" s="777">
        <f t="shared" si="287"/>
        <v>22061.19</v>
      </c>
      <c r="FA47" s="247"/>
      <c r="FB47" s="247"/>
      <c r="FC47" s="151"/>
      <c r="FD47" s="247"/>
      <c r="FE47" s="251"/>
      <c r="FF47" s="251"/>
      <c r="FG47" s="247"/>
      <c r="FH47" s="247"/>
      <c r="FI47" s="247"/>
      <c r="FJ47" s="247"/>
    </row>
    <row r="48" spans="1:166" s="208" customFormat="1">
      <c r="A48" s="777"/>
      <c r="B48" s="826"/>
      <c r="C48" s="415"/>
      <c r="D48" s="391"/>
      <c r="E48" s="447"/>
      <c r="F48" s="447"/>
      <c r="G48" s="772"/>
      <c r="H48" s="399"/>
      <c r="I48" s="818"/>
      <c r="J48" s="818"/>
      <c r="K48" s="781"/>
      <c r="L48" s="785"/>
      <c r="M48" s="777"/>
      <c r="N48" s="785"/>
      <c r="O48" s="793"/>
      <c r="P48" s="415"/>
      <c r="Q48" s="391"/>
      <c r="R48" s="447"/>
      <c r="S48" s="447"/>
      <c r="T48" s="772"/>
      <c r="U48" s="447"/>
      <c r="V48" s="818"/>
      <c r="W48" s="818"/>
      <c r="X48" s="781"/>
      <c r="Y48" s="785"/>
      <c r="Z48" s="777"/>
      <c r="AA48" s="25"/>
      <c r="AB48" s="783"/>
      <c r="AC48" s="415"/>
      <c r="AD48" s="391"/>
      <c r="AE48" s="447"/>
      <c r="AF48" s="447"/>
      <c r="AG48" s="772"/>
      <c r="AH48" s="399"/>
      <c r="AI48" s="818"/>
      <c r="AJ48" s="818"/>
      <c r="AK48" s="781"/>
      <c r="AL48" s="785"/>
      <c r="AM48" s="777"/>
      <c r="AN48" s="25"/>
      <c r="AO48" s="226"/>
      <c r="AP48" s="415"/>
      <c r="AQ48" s="391"/>
      <c r="AR48" s="447"/>
      <c r="AS48" s="447"/>
      <c r="AT48" s="772"/>
      <c r="AU48" s="399"/>
      <c r="AV48" s="818"/>
      <c r="AW48" s="818"/>
      <c r="AX48" s="781"/>
      <c r="AY48" s="785"/>
      <c r="AZ48" s="777"/>
      <c r="BA48" s="25"/>
      <c r="BB48" s="786"/>
      <c r="BC48" s="415"/>
      <c r="BD48" s="391"/>
      <c r="BE48" s="447"/>
      <c r="BF48" s="447"/>
      <c r="BG48" s="772"/>
      <c r="BH48" s="399"/>
      <c r="BI48" s="818"/>
      <c r="BJ48" s="818"/>
      <c r="BK48" s="781"/>
      <c r="BL48" s="785"/>
      <c r="BM48" s="777"/>
      <c r="BN48" s="25"/>
      <c r="BO48" s="241"/>
      <c r="BP48" s="415"/>
      <c r="BQ48" s="391"/>
      <c r="BR48" s="447"/>
      <c r="BS48" s="447"/>
      <c r="BT48" s="772"/>
      <c r="BU48" s="399"/>
      <c r="BV48" s="818"/>
      <c r="BW48" s="818"/>
      <c r="BX48" s="781"/>
      <c r="BY48" s="785"/>
      <c r="BZ48" s="777"/>
      <c r="CA48" s="25"/>
      <c r="CB48" s="242"/>
      <c r="CC48" s="415"/>
      <c r="CD48" s="391"/>
      <c r="CE48" s="447"/>
      <c r="CF48" s="447"/>
      <c r="CG48" s="772"/>
      <c r="CH48" s="399"/>
      <c r="CI48" s="818"/>
      <c r="CJ48" s="818"/>
      <c r="CK48" s="781"/>
      <c r="CL48" s="785"/>
      <c r="CM48" s="777"/>
      <c r="CN48" s="211"/>
      <c r="CO48" s="227"/>
      <c r="CP48" s="415"/>
      <c r="CQ48" s="391"/>
      <c r="CR48" s="447"/>
      <c r="CS48" s="447"/>
      <c r="CT48" s="772"/>
      <c r="CU48" s="399"/>
      <c r="CV48" s="818"/>
      <c r="CW48" s="818"/>
      <c r="CX48" s="781"/>
      <c r="CY48" s="785"/>
      <c r="CZ48" s="777"/>
      <c r="DA48" s="211"/>
      <c r="DB48" s="382"/>
      <c r="DC48" s="415"/>
      <c r="DD48" s="391"/>
      <c r="DE48" s="447"/>
      <c r="DF48" s="447"/>
      <c r="DG48" s="772"/>
      <c r="DH48" s="399"/>
      <c r="DI48" s="818"/>
      <c r="DJ48" s="818"/>
      <c r="DK48" s="781"/>
      <c r="DL48" s="785"/>
      <c r="DM48" s="777"/>
      <c r="DN48" s="25"/>
      <c r="DO48" s="228"/>
      <c r="DP48" s="415"/>
      <c r="DQ48" s="391"/>
      <c r="DR48" s="447"/>
      <c r="DS48" s="447"/>
      <c r="DT48" s="772"/>
      <c r="DU48" s="399"/>
      <c r="DV48" s="818"/>
      <c r="DW48" s="818"/>
      <c r="DX48" s="781"/>
      <c r="DY48" s="785"/>
      <c r="DZ48" s="777"/>
      <c r="EA48" s="785"/>
      <c r="EB48" s="243"/>
      <c r="EC48" s="415"/>
      <c r="ED48" s="391"/>
      <c r="EE48" s="447"/>
      <c r="EF48" s="447"/>
      <c r="EG48" s="772"/>
      <c r="EH48" s="399"/>
      <c r="EI48" s="818"/>
      <c r="EJ48" s="818"/>
      <c r="EK48" s="781"/>
      <c r="EL48" s="785"/>
      <c r="EM48" s="777"/>
      <c r="EN48" s="25"/>
      <c r="EO48" s="792"/>
      <c r="EP48" s="415"/>
      <c r="EQ48" s="391"/>
      <c r="ER48" s="447"/>
      <c r="ES48" s="447"/>
      <c r="ET48" s="772"/>
      <c r="EU48" s="399"/>
      <c r="EV48" s="818"/>
      <c r="EW48" s="818"/>
      <c r="EX48" s="781"/>
      <c r="EY48" s="785"/>
      <c r="EZ48" s="777"/>
      <c r="FA48" s="25"/>
      <c r="FB48" s="25"/>
      <c r="FC48" s="785"/>
      <c r="FD48" s="25"/>
      <c r="FE48" s="211"/>
      <c r="FF48" s="211"/>
      <c r="FG48" s="25"/>
      <c r="FH48" s="25"/>
      <c r="FI48" s="25"/>
      <c r="FJ48" s="25"/>
    </row>
    <row r="49" spans="1:200" s="254" customFormat="1">
      <c r="A49" s="244"/>
      <c r="B49" s="420"/>
      <c r="C49" s="245" t="s">
        <v>74</v>
      </c>
      <c r="D49" s="394">
        <f>SUM(D44:D47)</f>
        <v>70346.12</v>
      </c>
      <c r="E49" s="394">
        <f>SUM(E44:E47)</f>
        <v>64770.650000000009</v>
      </c>
      <c r="F49" s="394">
        <f>SUM(F44:F47)</f>
        <v>0</v>
      </c>
      <c r="G49" s="394">
        <f>SUM(G44:G47)</f>
        <v>68.421570974131356</v>
      </c>
      <c r="H49" s="403">
        <f>+E49+F49-G49</f>
        <v>64702.228429025876</v>
      </c>
      <c r="I49" s="364">
        <f>IF(E49=0,"-",H49/E49)</f>
        <v>0.99894363309656253</v>
      </c>
      <c r="J49" s="364">
        <f t="shared" si="235"/>
        <v>1.0563669034374574E-3</v>
      </c>
      <c r="K49" s="371">
        <f>D49-E49</f>
        <v>5575.4699999999866</v>
      </c>
      <c r="L49" s="151">
        <f>E49-H49</f>
        <v>68.421570974132919</v>
      </c>
      <c r="M49" s="244">
        <f>D49-H49</f>
        <v>5643.8915709741195</v>
      </c>
      <c r="N49" s="151"/>
      <c r="O49" s="246"/>
      <c r="P49" s="245" t="s">
        <v>74</v>
      </c>
      <c r="Q49" s="394">
        <f>SUM(Q44:Q47)</f>
        <v>70444.170000000013</v>
      </c>
      <c r="R49" s="394">
        <f>SUM(R44:R47)</f>
        <v>64620.209999999992</v>
      </c>
      <c r="S49" s="394">
        <f>SUM(S44:S47)</f>
        <v>0</v>
      </c>
      <c r="T49" s="448">
        <f>SUM(T44:T47)</f>
        <v>289.49114034968693</v>
      </c>
      <c r="U49" s="394">
        <f>SUM(U44:U47)</f>
        <v>64330.718859650304</v>
      </c>
      <c r="V49" s="364">
        <f>IF(R49=0,"-",U49/R49)</f>
        <v>0.99552011452222633</v>
      </c>
      <c r="W49" s="364">
        <f>IF(ISERROR(T49/R49),"-",T49/R49)</f>
        <v>4.479885477773702E-3</v>
      </c>
      <c r="X49" s="371">
        <f>Q49-R49</f>
        <v>5823.960000000021</v>
      </c>
      <c r="Y49" s="151">
        <f>R49-U49</f>
        <v>289.49114034968807</v>
      </c>
      <c r="Z49" s="244">
        <f>Q49-U49</f>
        <v>6113.451140349709</v>
      </c>
      <c r="AA49" s="247"/>
      <c r="AB49" s="248"/>
      <c r="AC49" s="245" t="s">
        <v>74</v>
      </c>
      <c r="AD49" s="394">
        <f>SUM(AD44:AD47)</f>
        <v>67045.679999999993</v>
      </c>
      <c r="AE49" s="394">
        <f>SUM(AE44:AE47)</f>
        <v>59985.05999999999</v>
      </c>
      <c r="AF49" s="394">
        <f>SUM(AF44:AF47)</f>
        <v>2.35</v>
      </c>
      <c r="AG49" s="394">
        <f>SUM(AG44:AG47)</f>
        <v>162.54540370379215</v>
      </c>
      <c r="AH49" s="403">
        <f>SUM(AH44:AH47)</f>
        <v>59824.864596296204</v>
      </c>
      <c r="AI49" s="364">
        <f>IF(AE49=0,"-",AH49/AE49)</f>
        <v>0.99732941162843236</v>
      </c>
      <c r="AJ49" s="364">
        <f>IF(ISERROR(AG49/AE49),"-",AG49/AE49)</f>
        <v>2.7097647931633674E-3</v>
      </c>
      <c r="AK49" s="371">
        <f>AD49-AE49</f>
        <v>7060.6200000000026</v>
      </c>
      <c r="AL49" s="151">
        <f>AE49-AH49</f>
        <v>160.19540370378672</v>
      </c>
      <c r="AM49" s="244">
        <f>AD49-AH49</f>
        <v>7220.8154037037893</v>
      </c>
      <c r="AN49" s="247"/>
      <c r="AO49" s="249"/>
      <c r="AP49" s="245" t="s">
        <v>74</v>
      </c>
      <c r="AQ49" s="394">
        <f>SUM(AQ44:AQ47)</f>
        <v>69537.13</v>
      </c>
      <c r="AR49" s="394">
        <f>SUM(AR44:AR47)</f>
        <v>64183.869999999995</v>
      </c>
      <c r="AS49" s="394">
        <f>SUM(AS44:AS47)</f>
        <v>0</v>
      </c>
      <c r="AT49" s="394">
        <f>SUM(AT44:AT47)</f>
        <v>209.70635765817954</v>
      </c>
      <c r="AU49" s="403">
        <f>SUM(AU44:AU47)</f>
        <v>63974.163642341817</v>
      </c>
      <c r="AV49" s="364">
        <f>IF(AR49=0,"-",AU49/AR49)</f>
        <v>0.99673272494073384</v>
      </c>
      <c r="AW49" s="364">
        <f>IF(ISERROR(AT49/AR49),"-",AT49/AR49)</f>
        <v>3.2672750592661298E-3</v>
      </c>
      <c r="AX49" s="371">
        <f>AQ49-AR49</f>
        <v>5353.2600000000093</v>
      </c>
      <c r="AY49" s="151">
        <f>AR49-AU49</f>
        <v>209.7063576581786</v>
      </c>
      <c r="AZ49" s="244">
        <f>AQ49-AU49</f>
        <v>5562.9663576581879</v>
      </c>
      <c r="BA49" s="247"/>
      <c r="BB49" s="421"/>
      <c r="BC49" s="245" t="s">
        <v>74</v>
      </c>
      <c r="BD49" s="394">
        <f>SUM(BD44:BD47)</f>
        <v>67143.72</v>
      </c>
      <c r="BE49" s="394">
        <f>SUM(BE44:BE47)</f>
        <v>0</v>
      </c>
      <c r="BF49" s="394">
        <f>SUM(BF44:BF47)</f>
        <v>0</v>
      </c>
      <c r="BG49" s="394">
        <f>SUM(BG44:BG47)</f>
        <v>0</v>
      </c>
      <c r="BH49" s="403">
        <f>SUM(BH44:BH47)</f>
        <v>0</v>
      </c>
      <c r="BI49" s="364" t="str">
        <f>IF(BE49=0,"-",BH49/BE49)</f>
        <v>-</v>
      </c>
      <c r="BJ49" s="364" t="str">
        <f>IF(ISERROR(BG49/BE49),"-",BG49/BE49)</f>
        <v>-</v>
      </c>
      <c r="BK49" s="371">
        <f>BD49-BE49</f>
        <v>67143.72</v>
      </c>
      <c r="BL49" s="151">
        <f>BE49-BH49</f>
        <v>0</v>
      </c>
      <c r="BM49" s="244">
        <f>BD49-BH49</f>
        <v>67143.72</v>
      </c>
      <c r="BN49" s="247"/>
      <c r="BO49" s="250"/>
      <c r="BP49" s="245" t="s">
        <v>74</v>
      </c>
      <c r="BQ49" s="394">
        <f>SUM(BQ44:BQ47)</f>
        <v>69537.13</v>
      </c>
      <c r="BR49" s="394">
        <f>SUM(BR44:BR47)</f>
        <v>0</v>
      </c>
      <c r="BS49" s="394">
        <f>SUM(BS44:BS47)</f>
        <v>0</v>
      </c>
      <c r="BT49" s="394">
        <f>SUM(BT44:BT47)</f>
        <v>0</v>
      </c>
      <c r="BU49" s="403">
        <f>SUM(BU44:BU47)</f>
        <v>0</v>
      </c>
      <c r="BV49" s="364" t="str">
        <f>IF(BR49=0,"-",BU49/BR49)</f>
        <v>-</v>
      </c>
      <c r="BW49" s="364" t="str">
        <f>IF(ISERROR(BT49/BR49),"-",BT49/BR49)</f>
        <v>-</v>
      </c>
      <c r="BX49" s="371">
        <f>BQ49-BR49</f>
        <v>69537.13</v>
      </c>
      <c r="BY49" s="151">
        <f>BR49-BU49</f>
        <v>0</v>
      </c>
      <c r="BZ49" s="244">
        <f>BQ49-BU49</f>
        <v>69537.13</v>
      </c>
      <c r="CA49" s="247"/>
      <c r="CB49" s="422"/>
      <c r="CC49" s="245" t="s">
        <v>74</v>
      </c>
      <c r="CD49" s="394">
        <f>SUM(CD44:CD47)</f>
        <v>69586.149999999994</v>
      </c>
      <c r="CE49" s="394">
        <f>SUM(CE44:CE47)</f>
        <v>0</v>
      </c>
      <c r="CF49" s="394">
        <f>SUM(CF44:CF47)</f>
        <v>0</v>
      </c>
      <c r="CG49" s="394">
        <f>SUM(CG44:CG47)</f>
        <v>0</v>
      </c>
      <c r="CH49" s="403">
        <f>SUM(CH44:CH47)</f>
        <v>0</v>
      </c>
      <c r="CI49" s="364" t="str">
        <f>IF(CE49=0,"-",CH49/CE49)</f>
        <v>-</v>
      </c>
      <c r="CJ49" s="364" t="str">
        <f>IF(ISERROR(CG49/CE49),"-",CG49/CE49)</f>
        <v>-</v>
      </c>
      <c r="CK49" s="371">
        <f>CD49-CE49</f>
        <v>69586.149999999994</v>
      </c>
      <c r="CL49" s="151">
        <f>CE49-CH49</f>
        <v>0</v>
      </c>
      <c r="CM49" s="244">
        <f>CD49-CH49</f>
        <v>69586.149999999994</v>
      </c>
      <c r="CN49" s="251"/>
      <c r="CO49" s="423"/>
      <c r="CP49" s="245" t="s">
        <v>74</v>
      </c>
      <c r="CQ49" s="394">
        <f>SUM(CQ44:CQ47)</f>
        <v>69586.149999999994</v>
      </c>
      <c r="CR49" s="394">
        <f>SUM(CR44:CR47)</f>
        <v>0</v>
      </c>
      <c r="CS49" s="394">
        <f>SUM(CS44:CS47)</f>
        <v>0</v>
      </c>
      <c r="CT49" s="394">
        <f>SUM(CT44:CT47)</f>
        <v>0</v>
      </c>
      <c r="CU49" s="403">
        <f>SUM(CU44:CU47)</f>
        <v>0</v>
      </c>
      <c r="CV49" s="364" t="str">
        <f>IF(CR49=0,"-",CU49/CR49)</f>
        <v>-</v>
      </c>
      <c r="CW49" s="364" t="str">
        <f>IF(ISERROR(CT49/CR49),"-",CT49/CR49)</f>
        <v>-</v>
      </c>
      <c r="CX49" s="371">
        <f>CQ49-CR49</f>
        <v>69586.149999999994</v>
      </c>
      <c r="CY49" s="151">
        <f>CR49-CU49</f>
        <v>0</v>
      </c>
      <c r="CZ49" s="244">
        <f>CQ49-CU49</f>
        <v>69586.149999999994</v>
      </c>
      <c r="DA49" s="251"/>
      <c r="DB49" s="383"/>
      <c r="DC49" s="245" t="s">
        <v>74</v>
      </c>
      <c r="DD49" s="394">
        <f>SUM(DD44:DD47)</f>
        <v>65412.25</v>
      </c>
      <c r="DE49" s="394">
        <f>SUM(DE44:DE47)</f>
        <v>0</v>
      </c>
      <c r="DF49" s="394">
        <f>SUM(DF44:DF47)</f>
        <v>0</v>
      </c>
      <c r="DG49" s="394">
        <f>SUM(DG44:DG47)</f>
        <v>0</v>
      </c>
      <c r="DH49" s="403">
        <f>SUM(DH44:DH47)</f>
        <v>0</v>
      </c>
      <c r="DI49" s="364" t="str">
        <f>IF(DE49=0,"-",DH49/DE49)</f>
        <v>-</v>
      </c>
      <c r="DJ49" s="364" t="str">
        <f>IF(ISERROR(DG49/DE49),"-",DG49/DE49)</f>
        <v>-</v>
      </c>
      <c r="DK49" s="371">
        <f>DD49-DE49</f>
        <v>65412.25</v>
      </c>
      <c r="DL49" s="151">
        <f>DE49-DH49</f>
        <v>0</v>
      </c>
      <c r="DM49" s="244">
        <f>DD49-DH49</f>
        <v>65412.25</v>
      </c>
      <c r="DN49" s="247"/>
      <c r="DO49" s="424"/>
      <c r="DP49" s="245" t="s">
        <v>74</v>
      </c>
      <c r="DQ49" s="394">
        <f>SUM(DQ44:DQ47)</f>
        <v>70346.12</v>
      </c>
      <c r="DR49" s="394">
        <f>SUM(DR44:DR47)</f>
        <v>0</v>
      </c>
      <c r="DS49" s="394">
        <f>SUM(DS44:DS47)</f>
        <v>0</v>
      </c>
      <c r="DT49" s="394">
        <f>SUM(DT44:DT47)</f>
        <v>0</v>
      </c>
      <c r="DU49" s="403">
        <f>SUM(DU44:DU47)</f>
        <v>0</v>
      </c>
      <c r="DV49" s="364" t="str">
        <f>IF(DR49=0,"-",DU49/DR49)</f>
        <v>-</v>
      </c>
      <c r="DW49" s="364" t="str">
        <f>IF(ISERROR(DT49/DR49),"-",DT49/DR49)</f>
        <v>-</v>
      </c>
      <c r="DX49" s="371">
        <f>DQ49-DR49</f>
        <v>70346.12</v>
      </c>
      <c r="DY49" s="151">
        <f>DR49-DU49</f>
        <v>0</v>
      </c>
      <c r="DZ49" s="244">
        <f>DQ49-DU49</f>
        <v>70346.12</v>
      </c>
      <c r="EA49" s="151"/>
      <c r="EB49" s="252"/>
      <c r="EC49" s="245" t="s">
        <v>74</v>
      </c>
      <c r="ED49" s="394">
        <f>SUM(ED44:ED47)</f>
        <v>68826.179999999993</v>
      </c>
      <c r="EE49" s="394">
        <f>SUM(EE44:EE47)</f>
        <v>0</v>
      </c>
      <c r="EF49" s="394">
        <f>SUM(EF44:EF47)</f>
        <v>0</v>
      </c>
      <c r="EG49" s="394">
        <f>SUM(EG44:EG47)</f>
        <v>0</v>
      </c>
      <c r="EH49" s="403">
        <f>SUM(EH44:EH47)</f>
        <v>0</v>
      </c>
      <c r="EI49" s="364" t="str">
        <f>IF(EE49=0,"-",EH49/EE49)</f>
        <v>-</v>
      </c>
      <c r="EJ49" s="364" t="str">
        <f>IF(ISERROR(EG49/EE49),"-",EG49/EE49)</f>
        <v>-</v>
      </c>
      <c r="EK49" s="371">
        <f>ED49-EE49</f>
        <v>68826.179999999993</v>
      </c>
      <c r="EL49" s="151">
        <f>EE49-EH49</f>
        <v>0</v>
      </c>
      <c r="EM49" s="244">
        <f>ED49-EH49</f>
        <v>68826.179999999993</v>
      </c>
      <c r="EN49" s="247"/>
      <c r="EO49" s="253"/>
      <c r="EP49" s="245" t="s">
        <v>74</v>
      </c>
      <c r="EQ49" s="394">
        <f>SUM(EQ44:EQ47)</f>
        <v>68663.67</v>
      </c>
      <c r="ER49" s="394">
        <f>SUM(ER44:ER47)</f>
        <v>0</v>
      </c>
      <c r="ES49" s="394">
        <f>SUM(ES44:ES47)</f>
        <v>0</v>
      </c>
      <c r="ET49" s="394">
        <f>SUM(ET44:ET47)</f>
        <v>0</v>
      </c>
      <c r="EU49" s="403">
        <f>SUM(EU44:EU47)</f>
        <v>0</v>
      </c>
      <c r="EV49" s="364" t="str">
        <f>IF(ER49=0,"-",EU49/ER49)</f>
        <v>-</v>
      </c>
      <c r="EW49" s="364" t="str">
        <f>IF(ISERROR(ET49/ER49),"-",ET49/ER49)</f>
        <v>-</v>
      </c>
      <c r="EX49" s="371">
        <f t="shared" si="285"/>
        <v>68663.67</v>
      </c>
      <c r="EY49" s="151">
        <f t="shared" si="286"/>
        <v>0</v>
      </c>
      <c r="EZ49" s="244">
        <f t="shared" si="287"/>
        <v>68663.67</v>
      </c>
      <c r="FA49" s="247"/>
      <c r="FB49" s="247"/>
      <c r="FC49" s="151"/>
      <c r="FD49" s="247"/>
      <c r="FE49" s="251"/>
      <c r="FF49" s="251"/>
      <c r="FG49" s="247"/>
      <c r="FH49" s="247"/>
      <c r="FI49" s="247"/>
      <c r="FJ49" s="247"/>
    </row>
    <row r="50" spans="1:200" s="208" customFormat="1" ht="11.25" customHeight="1" thickBot="1">
      <c r="A50" s="777"/>
      <c r="B50" s="826"/>
      <c r="C50" s="459"/>
      <c r="D50" s="395"/>
      <c r="E50" s="833"/>
      <c r="F50" s="833"/>
      <c r="G50" s="772"/>
      <c r="H50" s="404"/>
      <c r="I50" s="834"/>
      <c r="J50" s="834"/>
      <c r="K50" s="372"/>
      <c r="L50" s="373"/>
      <c r="M50" s="374"/>
      <c r="N50" s="785"/>
      <c r="O50" s="793"/>
      <c r="P50" s="459"/>
      <c r="Q50" s="395"/>
      <c r="R50" s="833"/>
      <c r="S50" s="833"/>
      <c r="T50" s="772"/>
      <c r="U50" s="404"/>
      <c r="V50" s="834"/>
      <c r="W50" s="834"/>
      <c r="X50" s="372"/>
      <c r="Y50" s="373"/>
      <c r="Z50" s="374"/>
      <c r="AA50" s="25"/>
      <c r="AB50" s="783"/>
      <c r="AC50" s="459"/>
      <c r="AD50" s="395"/>
      <c r="AE50" s="833"/>
      <c r="AF50" s="833"/>
      <c r="AG50" s="772"/>
      <c r="AH50" s="404"/>
      <c r="AI50" s="834"/>
      <c r="AJ50" s="834"/>
      <c r="AK50" s="372"/>
      <c r="AL50" s="373"/>
      <c r="AM50" s="374"/>
      <c r="AN50" s="25"/>
      <c r="AO50" s="226"/>
      <c r="AP50" s="459"/>
      <c r="AQ50" s="395"/>
      <c r="AR50" s="833"/>
      <c r="AS50" s="833"/>
      <c r="AT50" s="772"/>
      <c r="AU50" s="404"/>
      <c r="AV50" s="834"/>
      <c r="AW50" s="834"/>
      <c r="AX50" s="372"/>
      <c r="AY50" s="373"/>
      <c r="AZ50" s="374"/>
      <c r="BA50" s="25"/>
      <c r="BB50" s="786"/>
      <c r="BC50" s="459"/>
      <c r="BD50" s="395"/>
      <c r="BE50" s="833"/>
      <c r="BF50" s="833"/>
      <c r="BG50" s="772"/>
      <c r="BH50" s="404"/>
      <c r="BI50" s="834"/>
      <c r="BJ50" s="834"/>
      <c r="BK50" s="372"/>
      <c r="BL50" s="373"/>
      <c r="BM50" s="374"/>
      <c r="BN50" s="25"/>
      <c r="BO50" s="241"/>
      <c r="BP50" s="459"/>
      <c r="BQ50" s="395"/>
      <c r="BR50" s="833"/>
      <c r="BS50" s="833"/>
      <c r="BT50" s="772"/>
      <c r="BU50" s="404"/>
      <c r="BV50" s="834"/>
      <c r="BW50" s="834"/>
      <c r="BX50" s="372"/>
      <c r="BY50" s="373"/>
      <c r="BZ50" s="374"/>
      <c r="CA50" s="25"/>
      <c r="CB50" s="242"/>
      <c r="CC50" s="459"/>
      <c r="CD50" s="395"/>
      <c r="CE50" s="833"/>
      <c r="CF50" s="833"/>
      <c r="CG50" s="772"/>
      <c r="CH50" s="404"/>
      <c r="CI50" s="834"/>
      <c r="CJ50" s="834"/>
      <c r="CK50" s="372"/>
      <c r="CL50" s="373"/>
      <c r="CM50" s="374"/>
      <c r="CN50" s="218"/>
      <c r="CO50" s="227"/>
      <c r="CP50" s="459"/>
      <c r="CQ50" s="395"/>
      <c r="CR50" s="833"/>
      <c r="CS50" s="833"/>
      <c r="CT50" s="772"/>
      <c r="CU50" s="404"/>
      <c r="CV50" s="834"/>
      <c r="CW50" s="834"/>
      <c r="CX50" s="372"/>
      <c r="CY50" s="373"/>
      <c r="CZ50" s="374"/>
      <c r="DA50" s="211"/>
      <c r="DB50" s="382"/>
      <c r="DC50" s="459"/>
      <c r="DD50" s="395"/>
      <c r="DE50" s="833"/>
      <c r="DF50" s="833"/>
      <c r="DG50" s="772"/>
      <c r="DH50" s="404"/>
      <c r="DI50" s="834"/>
      <c r="DJ50" s="834"/>
      <c r="DK50" s="372"/>
      <c r="DL50" s="373"/>
      <c r="DM50" s="374"/>
      <c r="DN50" s="25"/>
      <c r="DO50" s="228"/>
      <c r="DP50" s="459"/>
      <c r="DQ50" s="395"/>
      <c r="DR50" s="833"/>
      <c r="DS50" s="833"/>
      <c r="DT50" s="772"/>
      <c r="DU50" s="404"/>
      <c r="DV50" s="834"/>
      <c r="DW50" s="834"/>
      <c r="DX50" s="372"/>
      <c r="DY50" s="373"/>
      <c r="DZ50" s="374"/>
      <c r="EA50" s="785"/>
      <c r="EB50" s="243"/>
      <c r="EC50" s="459"/>
      <c r="ED50" s="395"/>
      <c r="EE50" s="833"/>
      <c r="EF50" s="833"/>
      <c r="EG50" s="772"/>
      <c r="EH50" s="404"/>
      <c r="EI50" s="834"/>
      <c r="EJ50" s="834"/>
      <c r="EK50" s="372"/>
      <c r="EL50" s="373"/>
      <c r="EM50" s="374"/>
      <c r="EN50" s="25"/>
      <c r="EO50" s="792"/>
      <c r="EP50" s="459"/>
      <c r="EQ50" s="395"/>
      <c r="ER50" s="833"/>
      <c r="ES50" s="833"/>
      <c r="ET50" s="772"/>
      <c r="EU50" s="404"/>
      <c r="EV50" s="834"/>
      <c r="EW50" s="834"/>
      <c r="EX50" s="372"/>
      <c r="EY50" s="373"/>
      <c r="EZ50" s="374"/>
      <c r="FA50" s="25"/>
      <c r="FB50" s="25"/>
      <c r="FC50" s="25"/>
      <c r="FD50" s="25"/>
      <c r="FE50" s="785"/>
      <c r="FF50" s="25"/>
      <c r="FG50" s="211"/>
      <c r="FH50" s="211"/>
      <c r="FI50" s="25"/>
      <c r="FJ50" s="25"/>
      <c r="FK50" s="25"/>
      <c r="FL50" s="25"/>
      <c r="FM50" s="776"/>
      <c r="FN50" s="776"/>
      <c r="FO50" s="776"/>
      <c r="FP50" s="776"/>
      <c r="FQ50" s="776"/>
      <c r="FR50" s="776"/>
      <c r="FS50" s="776"/>
      <c r="FT50" s="776"/>
      <c r="FU50" s="776"/>
      <c r="FV50" s="776"/>
      <c r="FW50" s="776"/>
      <c r="FX50" s="776"/>
      <c r="FY50" s="776"/>
      <c r="FZ50" s="776"/>
      <c r="GA50" s="776"/>
      <c r="GB50" s="776"/>
      <c r="GC50" s="776"/>
      <c r="GD50" s="776"/>
      <c r="GE50" s="776"/>
      <c r="GF50" s="776"/>
      <c r="GG50" s="776"/>
      <c r="GH50" s="776"/>
      <c r="GI50" s="776"/>
      <c r="GJ50" s="776"/>
      <c r="GK50" s="776"/>
      <c r="GL50" s="776"/>
      <c r="GM50" s="776"/>
      <c r="GN50" s="776"/>
      <c r="GO50" s="776"/>
      <c r="GP50" s="776"/>
      <c r="GQ50" s="776"/>
      <c r="GR50" s="776"/>
    </row>
    <row r="51" spans="1:200" s="208" customFormat="1" ht="17.25" customHeight="1" thickTop="1" thickBot="1">
      <c r="A51" s="777"/>
      <c r="B51" s="835"/>
      <c r="C51" s="407" t="s">
        <v>57</v>
      </c>
      <c r="D51" s="396">
        <f>SUM(D42,D44:D47)</f>
        <v>96673.419999999984</v>
      </c>
      <c r="E51" s="368">
        <f>SUM(E42,E44:E47)</f>
        <v>91111.709999999992</v>
      </c>
      <c r="F51" s="368">
        <f>SUM(F42,F44:F47)</f>
        <v>0</v>
      </c>
      <c r="G51" s="350">
        <f>SUM(G42,G44:G47)</f>
        <v>128.11717614408582</v>
      </c>
      <c r="H51" s="350">
        <f>SUM(H42,H44:H47)</f>
        <v>90983.592823855928</v>
      </c>
      <c r="I51" s="365">
        <f>IF(E51=0,"-",H51/E51)</f>
        <v>0.99859384511448568</v>
      </c>
      <c r="J51" s="365">
        <f>IF(ISERROR(G51/E51),"-",G51/E51)</f>
        <v>1.4061548855145605E-3</v>
      </c>
      <c r="K51" s="274">
        <f>D51-E51</f>
        <v>5561.7099999999919</v>
      </c>
      <c r="L51" s="269">
        <f>E51-H51</f>
        <v>128.11717614406371</v>
      </c>
      <c r="M51" s="270">
        <f>D51-H51</f>
        <v>5689.8271761440556</v>
      </c>
      <c r="N51" s="785"/>
      <c r="O51" s="798"/>
      <c r="P51" s="407" t="s">
        <v>57</v>
      </c>
      <c r="Q51" s="396">
        <f>SUM(Q42,Q44:Q47)</f>
        <v>96869.38</v>
      </c>
      <c r="R51" s="368">
        <f>SUM(R42,R44:R47)</f>
        <v>92119.01</v>
      </c>
      <c r="S51" s="368">
        <f>SUM(S42,S44:S47)</f>
        <v>0</v>
      </c>
      <c r="T51" s="350">
        <f>SUM(T42,T44:T47)</f>
        <v>341.78288416653845</v>
      </c>
      <c r="U51" s="449">
        <f>SUM(U42,U44:U47)</f>
        <v>91777.227115833462</v>
      </c>
      <c r="V51" s="365">
        <f>IF(R51=0,"-",U51/R51)</f>
        <v>0.9962897681578804</v>
      </c>
      <c r="W51" s="365">
        <f>IF(ISERROR(T51/R51),"-",T51/R51)</f>
        <v>3.7102318421196501E-3</v>
      </c>
      <c r="X51" s="274">
        <f>Q51-R51</f>
        <v>4750.3700000000099</v>
      </c>
      <c r="Y51" s="269">
        <f>R51-U51</f>
        <v>341.78288416653231</v>
      </c>
      <c r="Z51" s="270">
        <f>Q51-U51</f>
        <v>5092.1528841665422</v>
      </c>
      <c r="AA51" s="25"/>
      <c r="AB51" s="799"/>
      <c r="AC51" s="407" t="s">
        <v>57</v>
      </c>
      <c r="AD51" s="396">
        <f>SUM(AD42,AD44:AD47)</f>
        <v>92173.01</v>
      </c>
      <c r="AE51" s="368">
        <f>SUM(AE42,AE44:AE47)</f>
        <v>86449.51999999999</v>
      </c>
      <c r="AF51" s="368">
        <f>SUM(AF42,AF44:AF47)</f>
        <v>2.35</v>
      </c>
      <c r="AG51" s="350">
        <f>SUM(AG42,AG44:AG47)</f>
        <v>215.87698807102709</v>
      </c>
      <c r="AH51" s="350">
        <f>SUM(AH42,AH44:AH47)</f>
        <v>86235.993011928964</v>
      </c>
      <c r="AI51" s="365">
        <f>IF(AE51=0,"-",AH51/AE51)</f>
        <v>0.99753003847712485</v>
      </c>
      <c r="AJ51" s="365">
        <f>IF(ISERROR(AG51/AE51),"-",AG51/AE51)</f>
        <v>2.4971450167800484E-3</v>
      </c>
      <c r="AK51" s="274">
        <f>AD51-AE51</f>
        <v>5723.4900000000052</v>
      </c>
      <c r="AL51" s="269">
        <f>AE51-AH51</f>
        <v>213.5269880710257</v>
      </c>
      <c r="AM51" s="270">
        <f>AD51-AH51</f>
        <v>5937.0169880710309</v>
      </c>
      <c r="AN51" s="25"/>
      <c r="AO51" s="231"/>
      <c r="AP51" s="407" t="s">
        <v>57</v>
      </c>
      <c r="AQ51" s="396">
        <f>SUM(AQ42,AQ44:AQ47)</f>
        <v>95582.849999999991</v>
      </c>
      <c r="AR51" s="368">
        <f>SUM(AR42,AR44:AR47)</f>
        <v>91395.939999999988</v>
      </c>
      <c r="AS51" s="368">
        <f>SUM(AS42,AS44:AS47)</f>
        <v>0</v>
      </c>
      <c r="AT51" s="350">
        <f>SUM(AT42,AT44:AT47)</f>
        <v>263.92889493897133</v>
      </c>
      <c r="AU51" s="350">
        <f>SUM(AU42,AU44:AU47)</f>
        <v>91132.011105061014</v>
      </c>
      <c r="AV51" s="365">
        <f>IF(AR51=0,"-",AU51/AR51)</f>
        <v>0.99711224705453028</v>
      </c>
      <c r="AW51" s="365">
        <f>IF(ISERROR(AT51/AR51),"-",AT51/AR51)</f>
        <v>2.8877529454696934E-3</v>
      </c>
      <c r="AX51" s="274">
        <f>AQ51-AR51</f>
        <v>4186.9100000000035</v>
      </c>
      <c r="AY51" s="269">
        <f>AR51-AU51</f>
        <v>263.92889493897383</v>
      </c>
      <c r="AZ51" s="270">
        <f>AQ51-AU51</f>
        <v>4450.8388949389773</v>
      </c>
      <c r="BA51" s="212"/>
      <c r="BB51" s="375"/>
      <c r="BC51" s="407" t="s">
        <v>57</v>
      </c>
      <c r="BD51" s="396">
        <f>SUM(BD42,BD44:BD47)</f>
        <v>92368.959999999992</v>
      </c>
      <c r="BE51" s="368">
        <f>SUM(BE42,BE44:BE47)</f>
        <v>0</v>
      </c>
      <c r="BF51" s="368">
        <f>SUM(BF42,BF44:BF47)</f>
        <v>0</v>
      </c>
      <c r="BG51" s="350">
        <f>SUM(BG42,BG44:BG47)</f>
        <v>0</v>
      </c>
      <c r="BH51" s="350">
        <f>SUM(BH42,BH44:BH47)</f>
        <v>0</v>
      </c>
      <c r="BI51" s="365" t="str">
        <f>IF(BE51=0,"-",BH51/BE51)</f>
        <v>-</v>
      </c>
      <c r="BJ51" s="365" t="str">
        <f>IF(ISERROR(BG51/BE51),"-",BG51/BE51)</f>
        <v>-</v>
      </c>
      <c r="BK51" s="274">
        <f>BD51-BE51</f>
        <v>92368.959999999992</v>
      </c>
      <c r="BL51" s="269">
        <f>BE51-BH51</f>
        <v>0</v>
      </c>
      <c r="BM51" s="270">
        <f>BD51-BH51</f>
        <v>92368.959999999992</v>
      </c>
      <c r="BN51" s="25"/>
      <c r="BO51" s="255"/>
      <c r="BP51" s="407" t="s">
        <v>57</v>
      </c>
      <c r="BQ51" s="396">
        <f>SUM(BQ42,BQ44:BQ47)</f>
        <v>95582.849999999991</v>
      </c>
      <c r="BR51" s="368">
        <f>SUM(BR42,BR44:BR47)</f>
        <v>0</v>
      </c>
      <c r="BS51" s="368">
        <f>SUM(BS42,BS44:BS47)</f>
        <v>0</v>
      </c>
      <c r="BT51" s="350">
        <f>SUM(BT42,BT44:BT47)</f>
        <v>0</v>
      </c>
      <c r="BU51" s="350">
        <f>SUM(BU42,BU44:BU47)</f>
        <v>0</v>
      </c>
      <c r="BV51" s="365" t="str">
        <f>IF(BR51=0,"-",BU51/BR51)</f>
        <v>-</v>
      </c>
      <c r="BW51" s="365" t="str">
        <f>IF(ISERROR(BT51/BR51),"-",BT51/BR51)</f>
        <v>-</v>
      </c>
      <c r="BX51" s="274">
        <f>BQ51-BR51</f>
        <v>95582.849999999991</v>
      </c>
      <c r="BY51" s="269">
        <f>BR51-BU51</f>
        <v>0</v>
      </c>
      <c r="BZ51" s="270">
        <f>BQ51-BU51</f>
        <v>95582.849999999991</v>
      </c>
      <c r="CA51" s="25"/>
      <c r="CB51" s="256"/>
      <c r="CC51" s="407" t="s">
        <v>57</v>
      </c>
      <c r="CD51" s="396">
        <f>SUM(CD42,CD44:CD47)</f>
        <v>95687.55</v>
      </c>
      <c r="CE51" s="368">
        <f>SUM(CE42,CE44:CE47)</f>
        <v>0</v>
      </c>
      <c r="CF51" s="368">
        <f>SUM(CF42,CF44:CF47)</f>
        <v>0</v>
      </c>
      <c r="CG51" s="350">
        <f>SUM(CG42,CG44:CG47)</f>
        <v>0</v>
      </c>
      <c r="CH51" s="350">
        <f>SUM(CH42,CH44:CH47)</f>
        <v>0</v>
      </c>
      <c r="CI51" s="365" t="str">
        <f>IF(CE51=0,"-",CH51/CE51)</f>
        <v>-</v>
      </c>
      <c r="CJ51" s="365" t="str">
        <f>IF(ISERROR(CG51/CE51),"-",CG51/CE51)</f>
        <v>-</v>
      </c>
      <c r="CK51" s="274">
        <f>CD51-CE51</f>
        <v>95687.55</v>
      </c>
      <c r="CL51" s="269">
        <f>CE51-CH51</f>
        <v>0</v>
      </c>
      <c r="CM51" s="270">
        <f>CD51-CH51</f>
        <v>95687.55</v>
      </c>
      <c r="CN51" s="218"/>
      <c r="CO51" s="233"/>
      <c r="CP51" s="407" t="s">
        <v>57</v>
      </c>
      <c r="CQ51" s="396">
        <f>SUM(CQ42,CQ44:CQ47)</f>
        <v>95687.55</v>
      </c>
      <c r="CR51" s="368">
        <f>SUM(CR42,CR44:CR47)</f>
        <v>0</v>
      </c>
      <c r="CS51" s="368">
        <f>SUM(CS42,CS44:CS47)</f>
        <v>0</v>
      </c>
      <c r="CT51" s="350">
        <f>SUM(CT42,CT44:CT47)</f>
        <v>0</v>
      </c>
      <c r="CU51" s="350">
        <f>SUM(CU42,CU44:CU47)</f>
        <v>0</v>
      </c>
      <c r="CV51" s="365" t="str">
        <f>IF(CR51=0,"-",CU51/CR51)</f>
        <v>-</v>
      </c>
      <c r="CW51" s="365" t="str">
        <f>IF(ISERROR(CT51/CR51),"-",CT51/CR51)</f>
        <v>-</v>
      </c>
      <c r="CX51" s="274">
        <f>CQ51-CR51</f>
        <v>95687.55</v>
      </c>
      <c r="CY51" s="269">
        <f>CR51-CU51</f>
        <v>0</v>
      </c>
      <c r="CZ51" s="270">
        <f>CQ51-CU51</f>
        <v>95687.55</v>
      </c>
      <c r="DA51" s="211"/>
      <c r="DB51" s="384"/>
      <c r="DC51" s="407" t="s">
        <v>57</v>
      </c>
      <c r="DD51" s="396">
        <f>SUM(DD42,DD44:DD47)</f>
        <v>89945</v>
      </c>
      <c r="DE51" s="368">
        <f>SUM(DE42,DE44:DE47)</f>
        <v>0</v>
      </c>
      <c r="DF51" s="368">
        <f>SUM(DF42,DF44:DF47)</f>
        <v>0</v>
      </c>
      <c r="DG51" s="350">
        <f>SUM(DG42,DG44:DG47)</f>
        <v>0</v>
      </c>
      <c r="DH51" s="350">
        <f>SUM(DH42,DH44:DH47)</f>
        <v>0</v>
      </c>
      <c r="DI51" s="365" t="str">
        <f>IF(DE51=0,"-",DH51/DE51)</f>
        <v>-</v>
      </c>
      <c r="DJ51" s="365" t="str">
        <f>IF(ISERROR(DG51/DE51),"-",DG51/DE51)</f>
        <v>-</v>
      </c>
      <c r="DK51" s="274">
        <f>DD51-DE51</f>
        <v>89945</v>
      </c>
      <c r="DL51" s="269">
        <f>DE51-DH51</f>
        <v>0</v>
      </c>
      <c r="DM51" s="270">
        <f>DD51-DH51</f>
        <v>89945</v>
      </c>
      <c r="DN51" s="25"/>
      <c r="DO51" s="234"/>
      <c r="DP51" s="407" t="s">
        <v>57</v>
      </c>
      <c r="DQ51" s="396">
        <f>SUM(DQ42,DQ44:DQ47)</f>
        <v>96673.419999999984</v>
      </c>
      <c r="DR51" s="368">
        <f>SUM(DR42,DR44:DR47)</f>
        <v>0</v>
      </c>
      <c r="DS51" s="368">
        <f>SUM(DS42,DS44:DS47)</f>
        <v>0</v>
      </c>
      <c r="DT51" s="350">
        <f>SUM(DT42,DT44:DT47)</f>
        <v>0</v>
      </c>
      <c r="DU51" s="350">
        <f>SUM(DU42,DU44:DU47)</f>
        <v>0</v>
      </c>
      <c r="DV51" s="365" t="str">
        <f>IF(DR51=0,"-",DU51/DR51)</f>
        <v>-</v>
      </c>
      <c r="DW51" s="365" t="str">
        <f>IF(ISERROR(DT51/DR51),"-",DT51/DR51)</f>
        <v>-</v>
      </c>
      <c r="DX51" s="274">
        <f>DQ51-DR51</f>
        <v>96673.419999999984</v>
      </c>
      <c r="DY51" s="269">
        <f>DR51-DU51</f>
        <v>0</v>
      </c>
      <c r="DZ51" s="270">
        <f>DQ51-DU51</f>
        <v>96673.419999999984</v>
      </c>
      <c r="EA51" s="785"/>
      <c r="EB51" s="257"/>
      <c r="EC51" s="407" t="s">
        <v>57</v>
      </c>
      <c r="ED51" s="396">
        <f>SUM(ED42,ED44:ED47)</f>
        <v>94688.22</v>
      </c>
      <c r="EE51" s="368">
        <f>SUM(EE42,EE44:EE47)</f>
        <v>0</v>
      </c>
      <c r="EF51" s="368">
        <f>SUM(EF42,EF44:EF47)</f>
        <v>0</v>
      </c>
      <c r="EG51" s="350">
        <f>SUM(EG42,EG44:EG47)</f>
        <v>0</v>
      </c>
      <c r="EH51" s="350">
        <f>SUM(EH42,EH44:EH47)</f>
        <v>0</v>
      </c>
      <c r="EI51" s="365" t="str">
        <f>IF(EE51=0,"-",EH51/EE51)</f>
        <v>-</v>
      </c>
      <c r="EJ51" s="365" t="str">
        <f>IF(ISERROR(EG51/EE51),"-",EG51/EE51)</f>
        <v>-</v>
      </c>
      <c r="EK51" s="274">
        <f>ED51-EE51</f>
        <v>94688.22</v>
      </c>
      <c r="EL51" s="269">
        <f>EE51-EH51</f>
        <v>0</v>
      </c>
      <c r="EM51" s="270">
        <f>ED51-EH51</f>
        <v>94688.22</v>
      </c>
      <c r="EN51" s="25"/>
      <c r="EO51" s="775"/>
      <c r="EP51" s="407" t="s">
        <v>57</v>
      </c>
      <c r="EQ51" s="396">
        <f>SUM(EQ42,EQ44:EQ47)</f>
        <v>94354.17</v>
      </c>
      <c r="ER51" s="368">
        <f>SUM(ER42,ER44:ER47)</f>
        <v>0</v>
      </c>
      <c r="ES51" s="368">
        <f>SUM(ES42,ES44:ES47)</f>
        <v>0</v>
      </c>
      <c r="ET51" s="350">
        <f>SUM(ET42,ET44:ET47)</f>
        <v>0</v>
      </c>
      <c r="EU51" s="350">
        <f>SUM(EU42,EU44:EU47)</f>
        <v>0</v>
      </c>
      <c r="EV51" s="365" t="str">
        <f>IF(ER51=0,"-",EU51/ER51)</f>
        <v>-</v>
      </c>
      <c r="EW51" s="365" t="str">
        <f>IF(ISERROR(ET51/ER51),"-",ET51/ER51)</f>
        <v>-</v>
      </c>
      <c r="EX51" s="274">
        <f>EQ51-ER51</f>
        <v>94354.17</v>
      </c>
      <c r="EY51" s="269">
        <f>ER51-EU51</f>
        <v>0</v>
      </c>
      <c r="EZ51" s="270">
        <f>EQ51-EU51</f>
        <v>94354.17</v>
      </c>
      <c r="FA51" s="25"/>
      <c r="FB51" s="25"/>
      <c r="FC51" s="25"/>
      <c r="FD51" s="25"/>
      <c r="FE51" s="785"/>
      <c r="FF51" s="25"/>
      <c r="FG51" s="211"/>
      <c r="FH51" s="211"/>
      <c r="FI51" s="25"/>
      <c r="FJ51" s="25"/>
      <c r="FK51" s="25"/>
      <c r="FL51" s="25"/>
      <c r="FM51" s="776"/>
      <c r="FN51" s="776"/>
      <c r="FO51" s="776"/>
      <c r="FP51" s="776"/>
      <c r="FQ51" s="776"/>
      <c r="FR51" s="776"/>
      <c r="FS51" s="776"/>
      <c r="FT51" s="776"/>
      <c r="FU51" s="776"/>
      <c r="FV51" s="776"/>
      <c r="FW51" s="776"/>
      <c r="FX51" s="776"/>
      <c r="FY51" s="776"/>
      <c r="FZ51" s="776"/>
      <c r="GA51" s="776"/>
      <c r="GB51" s="776"/>
      <c r="GC51" s="776"/>
      <c r="GD51" s="776"/>
      <c r="GE51" s="776"/>
      <c r="GF51" s="776"/>
      <c r="GG51" s="776"/>
      <c r="GH51" s="776"/>
      <c r="GI51" s="776"/>
      <c r="GJ51" s="776"/>
      <c r="GK51" s="776"/>
      <c r="GL51" s="776"/>
      <c r="GM51" s="776"/>
      <c r="GN51" s="776"/>
      <c r="GO51" s="776"/>
      <c r="GP51" s="776"/>
      <c r="GQ51" s="776"/>
      <c r="GR51" s="776"/>
    </row>
    <row r="52" spans="1:200" s="208" customFormat="1" ht="11.25" customHeight="1">
      <c r="A52" s="785"/>
      <c r="B52" s="776"/>
      <c r="C52" s="397"/>
      <c r="D52" s="772"/>
      <c r="E52" s="807"/>
      <c r="F52" s="807"/>
      <c r="G52" s="25"/>
      <c r="H52" s="836"/>
      <c r="I52" s="33"/>
      <c r="J52" s="837"/>
      <c r="K52" s="25"/>
      <c r="L52" s="25"/>
      <c r="M52" s="25"/>
      <c r="N52" s="25"/>
      <c r="O52" s="785"/>
      <c r="P52" s="369"/>
      <c r="Q52" s="772"/>
      <c r="R52" s="807"/>
      <c r="S52" s="807"/>
      <c r="T52" s="25"/>
      <c r="U52" s="25"/>
      <c r="V52" s="33"/>
      <c r="W52" s="837"/>
      <c r="X52" s="25"/>
      <c r="Y52" s="25"/>
      <c r="Z52" s="25"/>
      <c r="AA52" s="25"/>
      <c r="AB52" s="25"/>
      <c r="AC52" s="369"/>
      <c r="AD52" s="116"/>
      <c r="AE52" s="785"/>
      <c r="AF52" s="785"/>
      <c r="AG52" s="25"/>
      <c r="AH52" s="25"/>
      <c r="AI52" s="33"/>
      <c r="AJ52" s="264"/>
      <c r="AK52" s="211"/>
      <c r="AL52" s="25"/>
      <c r="AM52" s="25"/>
      <c r="AN52" s="25"/>
      <c r="AO52" s="25"/>
      <c r="AP52" s="25"/>
      <c r="AQ52" s="25"/>
      <c r="AR52" s="785"/>
      <c r="AS52" s="785"/>
      <c r="AT52" s="785"/>
      <c r="AU52" s="25"/>
      <c r="AV52" s="33"/>
      <c r="AW52" s="264"/>
      <c r="AX52" s="211"/>
      <c r="AY52" s="211"/>
      <c r="AZ52" s="211"/>
      <c r="BA52" s="25"/>
      <c r="BB52" s="25"/>
      <c r="BC52" s="25"/>
      <c r="BD52" s="25"/>
      <c r="BE52" s="25"/>
      <c r="BF52" s="25"/>
      <c r="BG52" s="785"/>
      <c r="BH52" s="25"/>
      <c r="BI52" s="33"/>
      <c r="BJ52" s="264"/>
      <c r="BK52" s="25"/>
      <c r="BL52" s="211"/>
      <c r="BM52" s="211"/>
      <c r="BN52" s="211"/>
      <c r="BO52" s="25"/>
      <c r="BP52" s="838"/>
      <c r="BQ52" s="116"/>
      <c r="BR52" s="116"/>
      <c r="BS52" s="116"/>
      <c r="BT52" s="785"/>
      <c r="BU52" s="785"/>
      <c r="BV52" s="33"/>
      <c r="BW52" s="264"/>
      <c r="BX52" s="785"/>
      <c r="BY52" s="25"/>
      <c r="BZ52" s="25"/>
      <c r="CA52" s="211"/>
      <c r="CB52" s="211"/>
      <c r="CC52" s="25"/>
      <c r="CD52" s="25"/>
      <c r="CE52" s="25"/>
      <c r="CF52" s="25"/>
      <c r="CG52" s="25"/>
      <c r="CH52" s="785"/>
      <c r="CI52" s="33"/>
      <c r="CJ52" s="264"/>
      <c r="CK52" s="25"/>
      <c r="CL52" s="785"/>
      <c r="CM52" s="785"/>
      <c r="CN52" s="218"/>
      <c r="CO52" s="211"/>
      <c r="CP52" s="211"/>
      <c r="CQ52" s="25"/>
      <c r="CR52" s="25"/>
      <c r="CS52" s="25"/>
      <c r="CT52" s="25"/>
      <c r="CU52" s="785"/>
      <c r="CV52" s="33"/>
      <c r="CW52" s="839"/>
      <c r="CX52" s="25"/>
      <c r="CY52" s="25"/>
      <c r="CZ52" s="25"/>
      <c r="DA52" s="785"/>
      <c r="DB52" s="25"/>
      <c r="DC52" s="361"/>
      <c r="DD52" s="785"/>
      <c r="DE52" s="211"/>
      <c r="DF52" s="211"/>
      <c r="DG52" s="25"/>
      <c r="DH52" s="25"/>
      <c r="DI52" s="33"/>
      <c r="DJ52" s="839"/>
      <c r="DK52" s="25"/>
      <c r="DL52" s="25"/>
      <c r="DM52" s="25"/>
      <c r="DN52" s="25"/>
      <c r="DO52" s="785"/>
      <c r="DP52" s="25"/>
      <c r="DQ52" s="785"/>
      <c r="DR52" s="211"/>
      <c r="DS52" s="211"/>
      <c r="DT52" s="25"/>
      <c r="DU52" s="25"/>
      <c r="DV52" s="33"/>
      <c r="DW52" s="839"/>
      <c r="DX52" s="25"/>
      <c r="DY52" s="25"/>
      <c r="DZ52" s="25"/>
      <c r="EA52" s="25"/>
      <c r="EB52" s="25"/>
      <c r="EC52" s="237"/>
      <c r="ED52" s="785"/>
      <c r="EE52" s="25"/>
      <c r="EF52" s="25"/>
      <c r="EG52" s="211"/>
      <c r="EH52" s="25"/>
      <c r="EI52" s="33"/>
      <c r="EJ52" s="264"/>
      <c r="EK52" s="785"/>
      <c r="EL52" s="25"/>
      <c r="EM52" s="25"/>
      <c r="EN52" s="25"/>
      <c r="EO52" s="25"/>
      <c r="EP52" s="116"/>
      <c r="EQ52" s="116"/>
      <c r="ER52" s="772"/>
      <c r="ES52" s="772"/>
      <c r="ET52" s="211"/>
      <c r="EU52" s="25"/>
      <c r="EV52" s="33"/>
      <c r="EW52" s="264"/>
      <c r="EX52" s="785"/>
      <c r="EY52" s="813"/>
      <c r="EZ52" s="813"/>
      <c r="FA52" s="25"/>
      <c r="FB52" s="25"/>
      <c r="FC52" s="25"/>
      <c r="FD52" s="25"/>
      <c r="FE52" s="785"/>
      <c r="FF52" s="25"/>
      <c r="FG52" s="211"/>
      <c r="FH52" s="211"/>
      <c r="FI52" s="25"/>
      <c r="FJ52" s="25"/>
      <c r="FK52" s="25"/>
      <c r="FL52" s="25"/>
      <c r="FM52" s="776"/>
      <c r="FN52" s="776"/>
      <c r="FO52" s="776"/>
      <c r="FP52" s="776"/>
      <c r="FQ52" s="776"/>
      <c r="FR52" s="776"/>
      <c r="FS52" s="776"/>
      <c r="FT52" s="776"/>
      <c r="FU52" s="776"/>
      <c r="FV52" s="776"/>
      <c r="FW52" s="776"/>
      <c r="FX52" s="776"/>
      <c r="FY52" s="776"/>
      <c r="FZ52" s="776"/>
      <c r="GA52" s="776"/>
      <c r="GB52" s="776"/>
      <c r="GC52" s="776"/>
      <c r="GD52" s="776"/>
      <c r="GE52" s="776"/>
      <c r="GF52" s="776"/>
      <c r="GG52" s="776"/>
      <c r="GH52" s="776"/>
      <c r="GI52" s="776"/>
      <c r="GJ52" s="776"/>
      <c r="GK52" s="776"/>
      <c r="GL52" s="776"/>
      <c r="GM52" s="776"/>
      <c r="GN52" s="776"/>
      <c r="GO52" s="776"/>
      <c r="GP52" s="776"/>
      <c r="GQ52" s="776"/>
      <c r="GR52" s="776"/>
    </row>
    <row r="53" spans="1:200" s="208" customFormat="1">
      <c r="A53" s="785"/>
      <c r="B53" s="776"/>
      <c r="C53" s="369"/>
      <c r="D53" s="772"/>
      <c r="E53" s="807"/>
      <c r="F53" s="807"/>
      <c r="G53" s="25"/>
      <c r="H53" s="836"/>
      <c r="I53" s="33"/>
      <c r="J53" s="837"/>
      <c r="K53" s="25"/>
      <c r="L53" s="25"/>
      <c r="M53" s="25"/>
      <c r="N53" s="25"/>
      <c r="O53" s="785"/>
      <c r="P53" s="807"/>
      <c r="Q53" s="772"/>
      <c r="R53" s="807"/>
      <c r="S53" s="807"/>
      <c r="T53" s="25"/>
      <c r="U53" s="25"/>
      <c r="V53" s="33"/>
      <c r="W53" s="837"/>
      <c r="X53" s="25"/>
      <c r="Y53" s="25"/>
      <c r="Z53" s="25"/>
      <c r="AA53" s="25"/>
      <c r="AB53" s="25"/>
      <c r="AC53" s="355"/>
      <c r="AD53" s="116"/>
      <c r="AE53" s="785"/>
      <c r="AF53" s="785"/>
      <c r="AG53" s="25"/>
      <c r="AH53" s="25"/>
      <c r="AI53" s="33"/>
      <c r="AJ53" s="264"/>
      <c r="AK53" s="211"/>
      <c r="AL53" s="25"/>
      <c r="AM53" s="25"/>
      <c r="AN53" s="25"/>
      <c r="AO53" s="25"/>
      <c r="AP53" s="25"/>
      <c r="AQ53" s="25"/>
      <c r="AR53" s="785"/>
      <c r="AS53" s="785"/>
      <c r="AT53" s="785"/>
      <c r="AU53" s="25"/>
      <c r="AV53" s="33"/>
      <c r="AW53" s="264"/>
      <c r="AX53" s="211"/>
      <c r="AY53" s="211"/>
      <c r="AZ53" s="211"/>
      <c r="BA53" s="25"/>
      <c r="BB53" s="25"/>
      <c r="BC53" s="25"/>
      <c r="BD53" s="25"/>
      <c r="BE53" s="25"/>
      <c r="BF53" s="25"/>
      <c r="BG53" s="785"/>
      <c r="BH53" s="25"/>
      <c r="BI53" s="33"/>
      <c r="BJ53" s="264"/>
      <c r="BK53" s="25"/>
      <c r="BL53" s="211"/>
      <c r="BM53" s="211"/>
      <c r="BN53" s="211"/>
      <c r="BO53" s="25"/>
      <c r="BP53" s="838"/>
      <c r="BQ53" s="116"/>
      <c r="BR53" s="116"/>
      <c r="BS53" s="116"/>
      <c r="BT53" s="785"/>
      <c r="BU53" s="785"/>
      <c r="BV53" s="33"/>
      <c r="BW53" s="264"/>
      <c r="BX53" s="785"/>
      <c r="BY53" s="25"/>
      <c r="BZ53" s="25"/>
      <c r="CA53" s="211"/>
      <c r="CB53" s="211"/>
      <c r="CC53" s="25"/>
      <c r="CD53" s="25"/>
      <c r="CE53" s="25"/>
      <c r="CF53" s="25"/>
      <c r="CG53" s="25"/>
      <c r="CH53" s="785"/>
      <c r="CI53" s="33"/>
      <c r="CJ53" s="264"/>
      <c r="CK53" s="25"/>
      <c r="CL53" s="785"/>
      <c r="CM53" s="785"/>
      <c r="CN53" s="776"/>
      <c r="CO53" s="211"/>
      <c r="CP53" s="211"/>
      <c r="CQ53" s="25"/>
      <c r="CR53" s="25"/>
      <c r="CS53" s="25"/>
      <c r="CT53" s="25"/>
      <c r="CU53" s="785"/>
      <c r="CV53" s="33"/>
      <c r="CW53" s="839"/>
      <c r="CX53" s="25"/>
      <c r="CY53" s="25"/>
      <c r="CZ53" s="25"/>
      <c r="DA53" s="785"/>
      <c r="DB53" s="25"/>
      <c r="DC53" s="361"/>
      <c r="DD53" s="785"/>
      <c r="DE53" s="211"/>
      <c r="DF53" s="211"/>
      <c r="DG53" s="25"/>
      <c r="DH53" s="25"/>
      <c r="DI53" s="33"/>
      <c r="DJ53" s="839"/>
      <c r="DK53" s="25"/>
      <c r="DL53" s="25"/>
      <c r="DM53" s="25"/>
      <c r="DN53" s="25"/>
      <c r="DO53" s="785"/>
      <c r="DP53" s="25"/>
      <c r="DQ53" s="785"/>
      <c r="DR53" s="211"/>
      <c r="DS53" s="211"/>
      <c r="DT53" s="25"/>
      <c r="DU53" s="25"/>
      <c r="DV53" s="33"/>
      <c r="DW53" s="839"/>
      <c r="DX53" s="25"/>
      <c r="DY53" s="25"/>
      <c r="DZ53" s="25"/>
      <c r="EA53" s="25"/>
      <c r="EB53" s="25"/>
      <c r="EC53" s="355"/>
      <c r="ED53" s="785"/>
      <c r="EE53" s="25"/>
      <c r="EF53" s="25"/>
      <c r="EG53" s="211"/>
      <c r="EH53" s="25"/>
      <c r="EI53" s="33"/>
      <c r="EJ53" s="264"/>
      <c r="EK53" s="785"/>
      <c r="EL53" s="25"/>
      <c r="EM53" s="25"/>
      <c r="EN53" s="25"/>
      <c r="EO53" s="25"/>
      <c r="EP53" s="116"/>
      <c r="EQ53" s="116"/>
      <c r="ER53" s="772"/>
      <c r="ES53" s="772"/>
      <c r="ET53" s="211"/>
      <c r="EU53" s="25"/>
      <c r="EV53" s="33"/>
      <c r="EW53" s="264"/>
      <c r="EX53" s="785"/>
      <c r="EY53" s="785"/>
      <c r="EZ53" s="785"/>
      <c r="FA53" s="776"/>
      <c r="FB53" s="776"/>
      <c r="FC53" s="776"/>
      <c r="FD53" s="776"/>
      <c r="FE53" s="776"/>
      <c r="FF53" s="776"/>
      <c r="FG53" s="776"/>
      <c r="FH53" s="776"/>
      <c r="FI53" s="776"/>
      <c r="FJ53" s="776"/>
      <c r="FK53" s="776"/>
      <c r="FL53" s="776"/>
      <c r="FM53" s="776"/>
      <c r="FN53" s="776"/>
      <c r="FO53" s="776"/>
      <c r="FP53" s="776"/>
      <c r="FQ53" s="776"/>
      <c r="FR53" s="776"/>
      <c r="FS53" s="776"/>
      <c r="FT53" s="776"/>
      <c r="FU53" s="776"/>
      <c r="FV53" s="776"/>
      <c r="FW53" s="776"/>
      <c r="FX53" s="776"/>
      <c r="FY53" s="776"/>
      <c r="FZ53" s="776"/>
      <c r="GA53" s="776"/>
      <c r="GB53" s="776"/>
      <c r="GC53" s="776"/>
      <c r="GD53" s="776"/>
      <c r="GE53" s="776"/>
      <c r="GF53" s="776"/>
      <c r="GG53" s="776"/>
      <c r="GH53" s="776"/>
      <c r="GI53" s="776"/>
      <c r="GJ53" s="776"/>
      <c r="GK53" s="776"/>
      <c r="GL53" s="776"/>
      <c r="GM53" s="776"/>
      <c r="GN53" s="776"/>
      <c r="GO53" s="776"/>
      <c r="GP53" s="776"/>
      <c r="GQ53" s="776"/>
      <c r="GR53" s="776"/>
    </row>
    <row r="54" spans="1:200" s="208" customFormat="1" ht="13.5" thickBot="1">
      <c r="A54" s="785"/>
      <c r="B54" s="776"/>
      <c r="C54" s="369"/>
      <c r="D54" s="772"/>
      <c r="E54" s="807"/>
      <c r="F54" s="807"/>
      <c r="G54" s="25"/>
      <c r="H54" s="836"/>
      <c r="I54" s="33"/>
      <c r="J54" s="837"/>
      <c r="K54" s="25"/>
      <c r="L54" s="25"/>
      <c r="M54" s="25"/>
      <c r="N54" s="25"/>
      <c r="O54" s="785"/>
      <c r="P54" s="807"/>
      <c r="Q54" s="772"/>
      <c r="R54" s="807"/>
      <c r="S54" s="807"/>
      <c r="T54" s="25"/>
      <c r="U54" s="25"/>
      <c r="V54" s="33"/>
      <c r="W54" s="837"/>
      <c r="X54" s="25"/>
      <c r="Y54" s="25"/>
      <c r="Z54" s="25"/>
      <c r="AA54" s="25"/>
      <c r="AB54" s="25"/>
      <c r="AC54" s="355"/>
      <c r="AD54" s="116"/>
      <c r="AE54" s="785"/>
      <c r="AF54" s="785"/>
      <c r="AG54" s="25"/>
      <c r="AH54" s="25"/>
      <c r="AI54" s="33"/>
      <c r="AJ54" s="264"/>
      <c r="AK54" s="211"/>
      <c r="AL54" s="25"/>
      <c r="AM54" s="25"/>
      <c r="AN54" s="25"/>
      <c r="AO54" s="25"/>
      <c r="AP54" s="25"/>
      <c r="AQ54" s="25"/>
      <c r="AR54" s="785"/>
      <c r="AS54" s="785"/>
      <c r="AT54" s="785"/>
      <c r="AU54" s="25"/>
      <c r="AV54" s="33"/>
      <c r="AW54" s="264"/>
      <c r="AX54" s="211"/>
      <c r="AY54" s="211"/>
      <c r="AZ54" s="211"/>
      <c r="BA54" s="25"/>
      <c r="BB54" s="25"/>
      <c r="BC54" s="25"/>
      <c r="BD54" s="25"/>
      <c r="BE54" s="25"/>
      <c r="BF54" s="25"/>
      <c r="BG54" s="785"/>
      <c r="BH54" s="25"/>
      <c r="BI54" s="33"/>
      <c r="BJ54" s="264"/>
      <c r="BK54" s="25"/>
      <c r="BL54" s="211"/>
      <c r="BM54" s="211"/>
      <c r="BN54" s="211"/>
      <c r="BO54" s="25"/>
      <c r="BP54" s="838"/>
      <c r="BQ54" s="116"/>
      <c r="BR54" s="116"/>
      <c r="BS54" s="116"/>
      <c r="BT54" s="785"/>
      <c r="BU54" s="785"/>
      <c r="BV54" s="33"/>
      <c r="BW54" s="264"/>
      <c r="BX54" s="785"/>
      <c r="BY54" s="25"/>
      <c r="BZ54" s="25"/>
      <c r="CA54" s="211"/>
      <c r="CB54" s="211"/>
      <c r="CC54" s="25"/>
      <c r="CD54" s="25"/>
      <c r="CE54" s="25"/>
      <c r="CF54" s="25"/>
      <c r="CG54" s="25"/>
      <c r="CH54" s="785"/>
      <c r="CI54" s="33"/>
      <c r="CJ54" s="264"/>
      <c r="CK54" s="25"/>
      <c r="CL54" s="785"/>
      <c r="CM54" s="785"/>
      <c r="CN54" s="776"/>
      <c r="CO54" s="211"/>
      <c r="CP54" s="211"/>
      <c r="CQ54" s="25"/>
      <c r="CR54" s="25"/>
      <c r="CS54" s="25"/>
      <c r="CT54" s="25"/>
      <c r="CU54" s="785"/>
      <c r="CV54" s="33"/>
      <c r="CW54" s="839"/>
      <c r="CX54" s="25"/>
      <c r="CY54" s="25"/>
      <c r="CZ54" s="25"/>
      <c r="DA54" s="785"/>
      <c r="DB54" s="25"/>
      <c r="DC54" s="361"/>
      <c r="DD54" s="785"/>
      <c r="DE54" s="211"/>
      <c r="DF54" s="211"/>
      <c r="DG54" s="25"/>
      <c r="DH54" s="25"/>
      <c r="DI54" s="33"/>
      <c r="DJ54" s="839"/>
      <c r="DK54" s="25"/>
      <c r="DL54" s="25"/>
      <c r="DM54" s="25"/>
      <c r="DN54" s="25"/>
      <c r="DO54" s="785"/>
      <c r="DP54" s="25"/>
      <c r="DQ54" s="785"/>
      <c r="DR54" s="211"/>
      <c r="DS54" s="211"/>
      <c r="DT54" s="25"/>
      <c r="DU54" s="25"/>
      <c r="DV54" s="33"/>
      <c r="DW54" s="839"/>
      <c r="DX54" s="25"/>
      <c r="DY54" s="25"/>
      <c r="DZ54" s="25"/>
      <c r="EA54" s="25"/>
      <c r="EB54" s="25"/>
      <c r="EC54" s="355"/>
      <c r="ED54" s="785"/>
      <c r="EE54" s="25"/>
      <c r="EF54" s="25"/>
      <c r="EG54" s="211"/>
      <c r="EH54" s="25"/>
      <c r="EI54" s="33"/>
      <c r="EJ54" s="264"/>
      <c r="EK54" s="785"/>
      <c r="EL54" s="25"/>
      <c r="EM54" s="25"/>
      <c r="EN54" s="25"/>
      <c r="EO54" s="25"/>
      <c r="EP54" s="116"/>
      <c r="EQ54" s="116"/>
      <c r="ER54" s="772"/>
      <c r="ES54" s="772"/>
      <c r="ET54" s="211"/>
      <c r="EU54" s="25"/>
      <c r="EV54" s="33"/>
      <c r="EW54" s="264"/>
      <c r="EX54" s="785"/>
      <c r="EY54" s="785"/>
      <c r="EZ54" s="785"/>
      <c r="FA54" s="209"/>
      <c r="FB54" s="209"/>
      <c r="FC54" s="209"/>
      <c r="FD54" s="209"/>
      <c r="FE54" s="209"/>
      <c r="FF54" s="209"/>
      <c r="FG54" s="209"/>
      <c r="FH54" s="209"/>
      <c r="FI54" s="209"/>
      <c r="FJ54" s="209"/>
      <c r="FK54" s="209"/>
      <c r="FL54" s="209"/>
      <c r="FM54" s="772"/>
      <c r="FN54" s="772"/>
      <c r="FO54" s="772"/>
      <c r="FP54" s="772"/>
      <c r="FQ54" s="772"/>
      <c r="FR54" s="772"/>
      <c r="FS54" s="772"/>
      <c r="FT54" s="772"/>
      <c r="FU54" s="772"/>
      <c r="FV54" s="772"/>
      <c r="FW54" s="772"/>
      <c r="FX54" s="772"/>
      <c r="FY54" s="772"/>
      <c r="FZ54" s="772"/>
      <c r="GA54" s="772"/>
      <c r="GB54" s="772"/>
      <c r="GC54" s="772"/>
      <c r="GD54" s="772"/>
      <c r="GE54" s="772"/>
      <c r="GF54" s="772"/>
      <c r="GG54" s="772"/>
      <c r="GH54" s="772"/>
      <c r="GI54" s="772"/>
      <c r="GJ54" s="772"/>
      <c r="GK54" s="772"/>
      <c r="GL54" s="772"/>
      <c r="GM54" s="772"/>
      <c r="GN54" s="772"/>
      <c r="GO54" s="772"/>
      <c r="GP54" s="772"/>
      <c r="GQ54" s="772"/>
      <c r="GR54" s="772"/>
    </row>
    <row r="55" spans="1:200" s="208" customFormat="1" ht="13.5" customHeight="1">
      <c r="A55" s="776"/>
      <c r="B55" s="621" t="str">
        <f>"FY" &amp; Data!H2  &amp; " - YTD"</f>
        <v>FY2020 - YTD</v>
      </c>
      <c r="C55" s="622"/>
      <c r="D55" s="622"/>
      <c r="E55" s="622"/>
      <c r="F55" s="622"/>
      <c r="G55" s="622"/>
      <c r="H55" s="622"/>
      <c r="I55" s="622"/>
      <c r="J55" s="622"/>
      <c r="K55" s="622"/>
      <c r="L55" s="622"/>
      <c r="M55" s="623"/>
      <c r="N55" s="776"/>
      <c r="O55" s="615" t="str">
        <f>"FY" &amp; Data!H22  &amp; " - YTD"</f>
        <v>FY2020 - YTD</v>
      </c>
      <c r="P55" s="616"/>
      <c r="Q55" s="616"/>
      <c r="R55" s="616"/>
      <c r="S55" s="616"/>
      <c r="T55" s="616"/>
      <c r="U55" s="616"/>
      <c r="V55" s="616"/>
      <c r="W55" s="616"/>
      <c r="X55" s="616"/>
      <c r="Y55" s="616"/>
      <c r="Z55" s="617"/>
      <c r="AA55" s="776"/>
      <c r="AB55" s="618" t="str">
        <f>"FY" &amp; Data!H42  &amp; " - YTD"</f>
        <v>FY2020 - YTD</v>
      </c>
      <c r="AC55" s="619"/>
      <c r="AD55" s="619"/>
      <c r="AE55" s="619"/>
      <c r="AF55" s="619"/>
      <c r="AG55" s="619"/>
      <c r="AH55" s="619"/>
      <c r="AI55" s="619"/>
      <c r="AJ55" s="619"/>
      <c r="AK55" s="619"/>
      <c r="AL55" s="619"/>
      <c r="AM55" s="620"/>
      <c r="AN55" s="776"/>
      <c r="AO55" s="557" t="str">
        <f>"FY" &amp; Data!H62  &amp; " - YTD"</f>
        <v>FY2020 - YTD</v>
      </c>
      <c r="AP55" s="558"/>
      <c r="AQ55" s="558"/>
      <c r="AR55" s="558"/>
      <c r="AS55" s="558"/>
      <c r="AT55" s="558"/>
      <c r="AU55" s="558"/>
      <c r="AV55" s="558"/>
      <c r="AW55" s="558"/>
      <c r="AX55" s="558"/>
      <c r="AY55" s="558"/>
      <c r="AZ55" s="559"/>
      <c r="BA55" s="776"/>
      <c r="BB55" s="551" t="str">
        <f>"FY" &amp; Data!H82  &amp; " - YTD"</f>
        <v>FY2020 - YTD</v>
      </c>
      <c r="BC55" s="552"/>
      <c r="BD55" s="552"/>
      <c r="BE55" s="552"/>
      <c r="BF55" s="552"/>
      <c r="BG55" s="552"/>
      <c r="BH55" s="552"/>
      <c r="BI55" s="552"/>
      <c r="BJ55" s="552"/>
      <c r="BK55" s="552"/>
      <c r="BL55" s="552"/>
      <c r="BM55" s="553"/>
      <c r="BN55" s="776"/>
      <c r="BO55" s="628" t="str">
        <f>"FY" &amp; Data!H102  &amp; " - YTD"</f>
        <v>FY2020 - YTD</v>
      </c>
      <c r="BP55" s="629"/>
      <c r="BQ55" s="629"/>
      <c r="BR55" s="629"/>
      <c r="BS55" s="629"/>
      <c r="BT55" s="629"/>
      <c r="BU55" s="629"/>
      <c r="BV55" s="629"/>
      <c r="BW55" s="629"/>
      <c r="BX55" s="629"/>
      <c r="BY55" s="629"/>
      <c r="BZ55" s="630"/>
      <c r="CA55" s="776"/>
      <c r="CB55" s="625" t="str">
        <f>"FY" &amp; Data!H122  &amp; " - YTD"</f>
        <v>FY2020 - YTD</v>
      </c>
      <c r="CC55" s="626"/>
      <c r="CD55" s="626"/>
      <c r="CE55" s="626"/>
      <c r="CF55" s="626"/>
      <c r="CG55" s="626"/>
      <c r="CH55" s="626"/>
      <c r="CI55" s="626"/>
      <c r="CJ55" s="626"/>
      <c r="CK55" s="626"/>
      <c r="CL55" s="626"/>
      <c r="CM55" s="627"/>
      <c r="CN55" s="776"/>
      <c r="CO55" s="640" t="str">
        <f>"FY" &amp; Data!H142  &amp; " - YTD"</f>
        <v>FY2020 - YTD</v>
      </c>
      <c r="CP55" s="641"/>
      <c r="CQ55" s="641"/>
      <c r="CR55" s="641"/>
      <c r="CS55" s="641"/>
      <c r="CT55" s="641"/>
      <c r="CU55" s="641"/>
      <c r="CV55" s="641"/>
      <c r="CW55" s="641"/>
      <c r="CX55" s="641"/>
      <c r="CY55" s="641"/>
      <c r="CZ55" s="642"/>
      <c r="DA55" s="776"/>
      <c r="DB55" s="646" t="str">
        <f>"FY" &amp; Data!H162  &amp; " - YTD"</f>
        <v>FY2020 - YTD</v>
      </c>
      <c r="DC55" s="647"/>
      <c r="DD55" s="647"/>
      <c r="DE55" s="647"/>
      <c r="DF55" s="647"/>
      <c r="DG55" s="647"/>
      <c r="DH55" s="647"/>
      <c r="DI55" s="647"/>
      <c r="DJ55" s="647"/>
      <c r="DK55" s="647"/>
      <c r="DL55" s="647"/>
      <c r="DM55" s="648"/>
      <c r="DN55" s="776"/>
      <c r="DO55" s="652" t="str">
        <f>"FY" &amp; Data!H182  &amp; " - YTD"</f>
        <v>FY2020 - YTD</v>
      </c>
      <c r="DP55" s="653"/>
      <c r="DQ55" s="653"/>
      <c r="DR55" s="653"/>
      <c r="DS55" s="653"/>
      <c r="DT55" s="653"/>
      <c r="DU55" s="653"/>
      <c r="DV55" s="653"/>
      <c r="DW55" s="653"/>
      <c r="DX55" s="653"/>
      <c r="DY55" s="653"/>
      <c r="DZ55" s="654"/>
      <c r="EA55" s="776"/>
      <c r="EB55" s="658" t="str">
        <f>"FY" &amp; Data!H202  &amp; " - YTD"</f>
        <v>FY2020 - YTD</v>
      </c>
      <c r="EC55" s="659"/>
      <c r="ED55" s="659"/>
      <c r="EE55" s="659"/>
      <c r="EF55" s="659"/>
      <c r="EG55" s="659"/>
      <c r="EH55" s="659"/>
      <c r="EI55" s="659"/>
      <c r="EJ55" s="659"/>
      <c r="EK55" s="659"/>
      <c r="EL55" s="659"/>
      <c r="EM55" s="660"/>
      <c r="EN55" s="776"/>
      <c r="EO55" s="664" t="str">
        <f>"FY" &amp; Data!H222  &amp; " - YTD"</f>
        <v>FY2020 - YTD</v>
      </c>
      <c r="EP55" s="665"/>
      <c r="EQ55" s="665"/>
      <c r="ER55" s="665"/>
      <c r="ES55" s="665"/>
      <c r="ET55" s="665"/>
      <c r="EU55" s="665"/>
      <c r="EV55" s="665"/>
      <c r="EW55" s="665"/>
      <c r="EX55" s="665"/>
      <c r="EY55" s="665"/>
      <c r="EZ55" s="666"/>
      <c r="FA55" s="209"/>
      <c r="FB55" s="209"/>
      <c r="FC55" s="209"/>
      <c r="FD55" s="209"/>
      <c r="FE55" s="209"/>
      <c r="FF55" s="209"/>
      <c r="FG55" s="209"/>
      <c r="FH55" s="209"/>
      <c r="FI55" s="209"/>
      <c r="FJ55" s="209"/>
      <c r="FK55" s="209"/>
      <c r="FL55" s="209"/>
      <c r="FM55" s="772"/>
      <c r="FN55" s="772"/>
      <c r="FO55" s="772"/>
      <c r="FP55" s="772"/>
      <c r="FQ55" s="772"/>
      <c r="FR55" s="772"/>
      <c r="FS55" s="772"/>
      <c r="FT55" s="772"/>
      <c r="FU55" s="772"/>
      <c r="FV55" s="772"/>
      <c r="FW55" s="772"/>
      <c r="FX55" s="772"/>
      <c r="FY55" s="772"/>
      <c r="FZ55" s="772"/>
      <c r="GA55" s="772"/>
      <c r="GB55" s="772"/>
      <c r="GC55" s="772"/>
      <c r="GD55" s="772"/>
      <c r="GE55" s="772"/>
      <c r="GF55" s="772"/>
      <c r="GG55" s="772"/>
      <c r="GH55" s="772"/>
      <c r="GI55" s="772"/>
      <c r="GJ55" s="772"/>
      <c r="GK55" s="772"/>
      <c r="GL55" s="772"/>
      <c r="GM55" s="772"/>
      <c r="GN55" s="772"/>
      <c r="GO55" s="772"/>
      <c r="GP55" s="772"/>
      <c r="GQ55" s="772"/>
      <c r="GR55" s="772"/>
    </row>
    <row r="56" spans="1:200" s="208" customFormat="1" ht="13.5" customHeight="1" thickBot="1">
      <c r="A56" s="785"/>
      <c r="B56" s="612" t="str">
        <f>TEXT(Data!A2, "mmm yyyy ") &amp; " - YTD"</f>
        <v>Jul 2019  - YTD</v>
      </c>
      <c r="C56" s="613"/>
      <c r="D56" s="613"/>
      <c r="E56" s="613"/>
      <c r="F56" s="613"/>
      <c r="G56" s="613"/>
      <c r="H56" s="613"/>
      <c r="I56" s="613"/>
      <c r="J56" s="613"/>
      <c r="K56" s="613"/>
      <c r="L56" s="613"/>
      <c r="M56" s="614"/>
      <c r="N56" s="776"/>
      <c r="O56" s="502" t="str">
        <f>TEXT(Data!A22, "mmm yyyy ") &amp; " - YTD"</f>
        <v>Aug 2019  - YTD</v>
      </c>
      <c r="P56" s="503"/>
      <c r="Q56" s="503"/>
      <c r="R56" s="503"/>
      <c r="S56" s="503"/>
      <c r="T56" s="503"/>
      <c r="U56" s="503"/>
      <c r="V56" s="503"/>
      <c r="W56" s="503"/>
      <c r="X56" s="503"/>
      <c r="Y56" s="503"/>
      <c r="Z56" s="504"/>
      <c r="AA56" s="776"/>
      <c r="AB56" s="513" t="str">
        <f>TEXT(Data!A42, "mmm yyyy ") &amp; " - YTD"</f>
        <v>Sep 2019  - YTD</v>
      </c>
      <c r="AC56" s="514"/>
      <c r="AD56" s="514"/>
      <c r="AE56" s="514"/>
      <c r="AF56" s="514"/>
      <c r="AG56" s="514"/>
      <c r="AH56" s="514"/>
      <c r="AI56" s="514"/>
      <c r="AJ56" s="514"/>
      <c r="AK56" s="514"/>
      <c r="AL56" s="514"/>
      <c r="AM56" s="515"/>
      <c r="AN56" s="776"/>
      <c r="AO56" s="548" t="str">
        <f>TEXT(Data!A62, "mmm yyyy ") &amp; " - YTD"</f>
        <v>Oct 2019  - YTD</v>
      </c>
      <c r="AP56" s="549"/>
      <c r="AQ56" s="549"/>
      <c r="AR56" s="549"/>
      <c r="AS56" s="549"/>
      <c r="AT56" s="549"/>
      <c r="AU56" s="549"/>
      <c r="AV56" s="549"/>
      <c r="AW56" s="549"/>
      <c r="AX56" s="549"/>
      <c r="AY56" s="549"/>
      <c r="AZ56" s="550"/>
      <c r="BA56" s="785"/>
      <c r="BB56" s="545" t="str">
        <f>TEXT(Data!A82, "mmm yyyy ") &amp; " - YTD"</f>
        <v>Nov 2019  - YTD</v>
      </c>
      <c r="BC56" s="546"/>
      <c r="BD56" s="546"/>
      <c r="BE56" s="546"/>
      <c r="BF56" s="546"/>
      <c r="BG56" s="546"/>
      <c r="BH56" s="546"/>
      <c r="BI56" s="546"/>
      <c r="BJ56" s="546"/>
      <c r="BK56" s="546"/>
      <c r="BL56" s="546"/>
      <c r="BM56" s="547"/>
      <c r="BN56" s="776"/>
      <c r="BO56" s="634" t="str">
        <f>TEXT(Data!A102, "mmm yyyy ") &amp; " - YTD"</f>
        <v>Dec 2019  - YTD</v>
      </c>
      <c r="BP56" s="635"/>
      <c r="BQ56" s="635"/>
      <c r="BR56" s="635"/>
      <c r="BS56" s="635"/>
      <c r="BT56" s="635"/>
      <c r="BU56" s="635"/>
      <c r="BV56" s="635"/>
      <c r="BW56" s="635"/>
      <c r="BX56" s="635"/>
      <c r="BY56" s="635"/>
      <c r="BZ56" s="636"/>
      <c r="CA56" s="776"/>
      <c r="CB56" s="637" t="str">
        <f>TEXT(Data!A122, "mmm yyyy ") &amp; " - YTD"</f>
        <v>Jan 2020  - YTD</v>
      </c>
      <c r="CC56" s="638"/>
      <c r="CD56" s="638"/>
      <c r="CE56" s="638"/>
      <c r="CF56" s="638"/>
      <c r="CG56" s="638"/>
      <c r="CH56" s="638"/>
      <c r="CI56" s="638"/>
      <c r="CJ56" s="638"/>
      <c r="CK56" s="638"/>
      <c r="CL56" s="638"/>
      <c r="CM56" s="639"/>
      <c r="CN56" s="776"/>
      <c r="CO56" s="643" t="str">
        <f>TEXT(Data!A142, "mmm yyyy ") &amp; " - YTD"</f>
        <v>Feb 2020  - YTD</v>
      </c>
      <c r="CP56" s="644"/>
      <c r="CQ56" s="644"/>
      <c r="CR56" s="644"/>
      <c r="CS56" s="644"/>
      <c r="CT56" s="644"/>
      <c r="CU56" s="644"/>
      <c r="CV56" s="644"/>
      <c r="CW56" s="644"/>
      <c r="CX56" s="644"/>
      <c r="CY56" s="644"/>
      <c r="CZ56" s="645"/>
      <c r="DA56" s="776"/>
      <c r="DB56" s="649" t="str">
        <f>TEXT(Data!A162, "mmm yyyy ") &amp; " - YTD"</f>
        <v>Mar 2020  - YTD</v>
      </c>
      <c r="DC56" s="650"/>
      <c r="DD56" s="650"/>
      <c r="DE56" s="650"/>
      <c r="DF56" s="650"/>
      <c r="DG56" s="650"/>
      <c r="DH56" s="650"/>
      <c r="DI56" s="650"/>
      <c r="DJ56" s="650"/>
      <c r="DK56" s="650"/>
      <c r="DL56" s="650"/>
      <c r="DM56" s="651"/>
      <c r="DN56" s="776"/>
      <c r="DO56" s="655" t="str">
        <f>TEXT(Data!A182, "mmm yyyy ") &amp; " - YTD"</f>
        <v>Apr 2020  - YTD</v>
      </c>
      <c r="DP56" s="656"/>
      <c r="DQ56" s="656"/>
      <c r="DR56" s="656"/>
      <c r="DS56" s="656"/>
      <c r="DT56" s="656"/>
      <c r="DU56" s="656"/>
      <c r="DV56" s="656"/>
      <c r="DW56" s="656"/>
      <c r="DX56" s="656"/>
      <c r="DY56" s="656"/>
      <c r="DZ56" s="657"/>
      <c r="EA56" s="776"/>
      <c r="EB56" s="661" t="str">
        <f>TEXT(Data!A202, "mmm yyyy ") &amp; " - YTD"</f>
        <v>May 2020  - YTD</v>
      </c>
      <c r="EC56" s="662"/>
      <c r="ED56" s="662"/>
      <c r="EE56" s="662"/>
      <c r="EF56" s="662"/>
      <c r="EG56" s="662"/>
      <c r="EH56" s="662"/>
      <c r="EI56" s="662"/>
      <c r="EJ56" s="662"/>
      <c r="EK56" s="662"/>
      <c r="EL56" s="662"/>
      <c r="EM56" s="663"/>
      <c r="EN56" s="776"/>
      <c r="EO56" s="667" t="str">
        <f>TEXT(Data!A222, "mmm yyyy ") &amp; " - YTD"</f>
        <v>Jun 2020  - YTD</v>
      </c>
      <c r="EP56" s="668"/>
      <c r="EQ56" s="668"/>
      <c r="ER56" s="668"/>
      <c r="ES56" s="668"/>
      <c r="ET56" s="668"/>
      <c r="EU56" s="668"/>
      <c r="EV56" s="668"/>
      <c r="EW56" s="668"/>
      <c r="EX56" s="668"/>
      <c r="EY56" s="668"/>
      <c r="EZ56" s="669"/>
      <c r="FA56" s="209"/>
      <c r="FB56" s="209"/>
      <c r="FC56" s="209"/>
      <c r="FD56" s="209"/>
      <c r="FE56" s="209"/>
      <c r="FF56" s="209"/>
      <c r="FG56" s="209"/>
      <c r="FH56" s="209"/>
      <c r="FI56" s="209"/>
      <c r="FJ56" s="209"/>
      <c r="FK56" s="209"/>
      <c r="FL56" s="209"/>
      <c r="FM56" s="772"/>
      <c r="FN56" s="772"/>
      <c r="FO56" s="772"/>
      <c r="FP56" s="772"/>
      <c r="FQ56" s="772"/>
      <c r="FR56" s="772"/>
      <c r="FS56" s="772"/>
      <c r="FT56" s="772"/>
      <c r="FU56" s="772"/>
      <c r="FV56" s="772"/>
      <c r="FW56" s="772"/>
      <c r="FX56" s="772"/>
      <c r="FY56" s="772"/>
      <c r="FZ56" s="772"/>
      <c r="GA56" s="772"/>
      <c r="GB56" s="772"/>
      <c r="GC56" s="772"/>
      <c r="GD56" s="772"/>
      <c r="GE56" s="772"/>
      <c r="GF56" s="772"/>
      <c r="GG56" s="772"/>
      <c r="GH56" s="772"/>
      <c r="GI56" s="772"/>
      <c r="GJ56" s="772"/>
      <c r="GK56" s="772"/>
      <c r="GL56" s="772"/>
      <c r="GM56" s="772"/>
      <c r="GN56" s="772"/>
      <c r="GO56" s="772"/>
      <c r="GP56" s="772"/>
      <c r="GQ56" s="772"/>
      <c r="GR56" s="772"/>
    </row>
    <row r="57" spans="1:200" s="259" customFormat="1" ht="39" thickBot="1">
      <c r="A57" s="785"/>
      <c r="B57" s="454"/>
      <c r="C57" s="624" t="s">
        <v>2</v>
      </c>
      <c r="D57" s="516" t="s">
        <v>35</v>
      </c>
      <c r="E57" s="624" t="s">
        <v>36</v>
      </c>
      <c r="F57" s="624" t="s">
        <v>37</v>
      </c>
      <c r="G57" s="624" t="s">
        <v>38</v>
      </c>
      <c r="H57" s="583" t="s">
        <v>39</v>
      </c>
      <c r="I57" s="524" t="s">
        <v>40</v>
      </c>
      <c r="J57" s="580" t="s">
        <v>41</v>
      </c>
      <c r="K57" s="511" t="s">
        <v>42</v>
      </c>
      <c r="L57" s="512"/>
      <c r="M57" s="510"/>
      <c r="N57" s="776"/>
      <c r="O57" s="495"/>
      <c r="P57" s="520" t="s">
        <v>2</v>
      </c>
      <c r="Q57" s="500" t="s">
        <v>35</v>
      </c>
      <c r="R57" s="500" t="s">
        <v>36</v>
      </c>
      <c r="S57" s="500" t="s">
        <v>37</v>
      </c>
      <c r="T57" s="500" t="s">
        <v>38</v>
      </c>
      <c r="U57" s="516" t="s">
        <v>39</v>
      </c>
      <c r="V57" s="524" t="s">
        <v>40</v>
      </c>
      <c r="W57" s="522" t="s">
        <v>41</v>
      </c>
      <c r="X57" s="511" t="s">
        <v>42</v>
      </c>
      <c r="Y57" s="512"/>
      <c r="Z57" s="510"/>
      <c r="AA57" s="776"/>
      <c r="AB57" s="496"/>
      <c r="AC57" s="518" t="s">
        <v>2</v>
      </c>
      <c r="AD57" s="500" t="s">
        <v>35</v>
      </c>
      <c r="AE57" s="541" t="s">
        <v>36</v>
      </c>
      <c r="AF57" s="500" t="s">
        <v>37</v>
      </c>
      <c r="AG57" s="500" t="s">
        <v>38</v>
      </c>
      <c r="AH57" s="516" t="s">
        <v>39</v>
      </c>
      <c r="AI57" s="524" t="s">
        <v>40</v>
      </c>
      <c r="AJ57" s="522" t="s">
        <v>41</v>
      </c>
      <c r="AK57" s="511" t="s">
        <v>42</v>
      </c>
      <c r="AL57" s="512"/>
      <c r="AM57" s="510"/>
      <c r="AN57" s="776"/>
      <c r="AO57" s="205"/>
      <c r="AP57" s="518" t="s">
        <v>2</v>
      </c>
      <c r="AQ57" s="500" t="s">
        <v>35</v>
      </c>
      <c r="AR57" s="541" t="s">
        <v>36</v>
      </c>
      <c r="AS57" s="500" t="s">
        <v>37</v>
      </c>
      <c r="AT57" s="500" t="s">
        <v>38</v>
      </c>
      <c r="AU57" s="516" t="s">
        <v>39</v>
      </c>
      <c r="AV57" s="524" t="s">
        <v>40</v>
      </c>
      <c r="AW57" s="522" t="s">
        <v>41</v>
      </c>
      <c r="AX57" s="511" t="s">
        <v>42</v>
      </c>
      <c r="AY57" s="512"/>
      <c r="AZ57" s="510"/>
      <c r="BA57" s="781"/>
      <c r="BB57" s="377"/>
      <c r="BC57" s="518" t="s">
        <v>2</v>
      </c>
      <c r="BD57" s="500" t="s">
        <v>35</v>
      </c>
      <c r="BE57" s="541" t="s">
        <v>36</v>
      </c>
      <c r="BF57" s="541" t="s">
        <v>37</v>
      </c>
      <c r="BG57" s="500" t="s">
        <v>38</v>
      </c>
      <c r="BH57" s="516" t="s">
        <v>39</v>
      </c>
      <c r="BI57" s="524" t="s">
        <v>40</v>
      </c>
      <c r="BJ57" s="522" t="s">
        <v>41</v>
      </c>
      <c r="BK57" s="511" t="s">
        <v>42</v>
      </c>
      <c r="BL57" s="512"/>
      <c r="BM57" s="510"/>
      <c r="BN57" s="776"/>
      <c r="BO57" s="479"/>
      <c r="BP57" s="518" t="s">
        <v>2</v>
      </c>
      <c r="BQ57" s="500" t="s">
        <v>35</v>
      </c>
      <c r="BR57" s="541" t="s">
        <v>36</v>
      </c>
      <c r="BS57" s="541" t="s">
        <v>37</v>
      </c>
      <c r="BT57" s="500" t="s">
        <v>38</v>
      </c>
      <c r="BU57" s="516" t="s">
        <v>39</v>
      </c>
      <c r="BV57" s="524" t="s">
        <v>40</v>
      </c>
      <c r="BW57" s="522" t="s">
        <v>41</v>
      </c>
      <c r="BX57" s="511" t="s">
        <v>42</v>
      </c>
      <c r="BY57" s="512"/>
      <c r="BZ57" s="510"/>
      <c r="CA57" s="776"/>
      <c r="CB57" s="258"/>
      <c r="CC57" s="518" t="s">
        <v>2</v>
      </c>
      <c r="CD57" s="500" t="s">
        <v>35</v>
      </c>
      <c r="CE57" s="541" t="s">
        <v>36</v>
      </c>
      <c r="CF57" s="541" t="s">
        <v>37</v>
      </c>
      <c r="CG57" s="500" t="s">
        <v>38</v>
      </c>
      <c r="CH57" s="516" t="s">
        <v>39</v>
      </c>
      <c r="CI57" s="524" t="s">
        <v>40</v>
      </c>
      <c r="CJ57" s="522" t="s">
        <v>41</v>
      </c>
      <c r="CK57" s="511" t="s">
        <v>42</v>
      </c>
      <c r="CL57" s="512"/>
      <c r="CM57" s="510"/>
      <c r="CN57" s="769"/>
      <c r="CO57" s="492"/>
      <c r="CP57" s="473" t="s">
        <v>2</v>
      </c>
      <c r="CQ57" s="473" t="s">
        <v>35</v>
      </c>
      <c r="CR57" s="473" t="s">
        <v>36</v>
      </c>
      <c r="CS57" s="473" t="s">
        <v>37</v>
      </c>
      <c r="CT57" s="473" t="s">
        <v>38</v>
      </c>
      <c r="CU57" s="478" t="s">
        <v>39</v>
      </c>
      <c r="CV57" s="484" t="s">
        <v>40</v>
      </c>
      <c r="CW57" s="494" t="s">
        <v>41</v>
      </c>
      <c r="CX57" s="409" t="s">
        <v>42</v>
      </c>
      <c r="CY57" s="480"/>
      <c r="CZ57" s="481"/>
      <c r="DA57" s="776"/>
      <c r="DB57" s="486"/>
      <c r="DC57" s="473" t="s">
        <v>2</v>
      </c>
      <c r="DD57" s="473" t="s">
        <v>35</v>
      </c>
      <c r="DE57" s="473" t="s">
        <v>36</v>
      </c>
      <c r="DF57" s="473" t="s">
        <v>37</v>
      </c>
      <c r="DG57" s="473" t="s">
        <v>38</v>
      </c>
      <c r="DH57" s="478" t="s">
        <v>39</v>
      </c>
      <c r="DI57" s="484" t="s">
        <v>40</v>
      </c>
      <c r="DJ57" s="494" t="s">
        <v>41</v>
      </c>
      <c r="DK57" s="409" t="s">
        <v>42</v>
      </c>
      <c r="DL57" s="480"/>
      <c r="DM57" s="481"/>
      <c r="DN57" s="776"/>
      <c r="DO57" s="489"/>
      <c r="DP57" s="473" t="s">
        <v>2</v>
      </c>
      <c r="DQ57" s="473" t="s">
        <v>35</v>
      </c>
      <c r="DR57" s="473" t="s">
        <v>36</v>
      </c>
      <c r="DS57" s="473" t="s">
        <v>37</v>
      </c>
      <c r="DT57" s="473" t="s">
        <v>38</v>
      </c>
      <c r="DU57" s="478" t="s">
        <v>39</v>
      </c>
      <c r="DV57" s="484" t="s">
        <v>40</v>
      </c>
      <c r="DW57" s="494" t="s">
        <v>41</v>
      </c>
      <c r="DX57" s="409" t="s">
        <v>42</v>
      </c>
      <c r="DY57" s="480"/>
      <c r="DZ57" s="481"/>
      <c r="EA57" s="776"/>
      <c r="EB57" s="206"/>
      <c r="EC57" s="473" t="s">
        <v>2</v>
      </c>
      <c r="ED57" s="473" t="s">
        <v>35</v>
      </c>
      <c r="EE57" s="473" t="s">
        <v>36</v>
      </c>
      <c r="EF57" s="473" t="s">
        <v>37</v>
      </c>
      <c r="EG57" s="473" t="s">
        <v>38</v>
      </c>
      <c r="EH57" s="478" t="s">
        <v>39</v>
      </c>
      <c r="EI57" s="484" t="s">
        <v>40</v>
      </c>
      <c r="EJ57" s="494" t="s">
        <v>41</v>
      </c>
      <c r="EK57" s="409" t="s">
        <v>42</v>
      </c>
      <c r="EL57" s="480"/>
      <c r="EM57" s="481"/>
      <c r="EN57" s="776"/>
      <c r="EO57" s="207"/>
      <c r="EP57" s="473" t="s">
        <v>2</v>
      </c>
      <c r="EQ57" s="473" t="s">
        <v>35</v>
      </c>
      <c r="ER57" s="473" t="s">
        <v>36</v>
      </c>
      <c r="ES57" s="473" t="s">
        <v>37</v>
      </c>
      <c r="ET57" s="473" t="s">
        <v>38</v>
      </c>
      <c r="EU57" s="478" t="s">
        <v>39</v>
      </c>
      <c r="EV57" s="484" t="s">
        <v>40</v>
      </c>
      <c r="EW57" s="494" t="s">
        <v>41</v>
      </c>
      <c r="EX57" s="409" t="s">
        <v>42</v>
      </c>
      <c r="EY57" s="480"/>
      <c r="EZ57" s="481"/>
      <c r="FA57" s="840"/>
      <c r="FB57" s="840"/>
      <c r="FC57" s="840"/>
      <c r="FD57" s="840"/>
      <c r="FE57" s="840"/>
      <c r="FF57" s="840"/>
      <c r="FG57" s="840"/>
      <c r="FH57" s="840"/>
      <c r="FI57" s="840"/>
      <c r="FJ57" s="840"/>
      <c r="FK57" s="840"/>
      <c r="FL57" s="840"/>
      <c r="FM57" s="840"/>
      <c r="FN57" s="840"/>
      <c r="FO57" s="840"/>
      <c r="FP57" s="840"/>
      <c r="FQ57" s="840"/>
      <c r="FR57" s="840"/>
      <c r="FS57" s="840"/>
      <c r="FT57" s="840"/>
      <c r="FU57" s="840"/>
      <c r="FV57" s="840"/>
      <c r="FW57" s="840"/>
      <c r="FX57" s="840"/>
      <c r="FY57" s="840"/>
      <c r="FZ57" s="840"/>
      <c r="GA57" s="840"/>
      <c r="GB57" s="840"/>
      <c r="GC57" s="840"/>
      <c r="GD57" s="840"/>
      <c r="GE57" s="840"/>
      <c r="GF57" s="840"/>
      <c r="GG57" s="840"/>
      <c r="GH57" s="840"/>
      <c r="GI57" s="840"/>
      <c r="GJ57" s="840"/>
      <c r="GK57" s="840"/>
      <c r="GL57" s="840"/>
      <c r="GM57" s="840"/>
      <c r="GN57" s="840"/>
      <c r="GO57" s="840"/>
      <c r="GP57" s="840"/>
      <c r="GQ57" s="840"/>
      <c r="GR57" s="840"/>
    </row>
    <row r="58" spans="1:200" s="208" customFormat="1" ht="15" customHeight="1">
      <c r="A58" s="785"/>
      <c r="B58" s="454"/>
      <c r="C58" s="624"/>
      <c r="D58" s="516"/>
      <c r="E58" s="624"/>
      <c r="F58" s="624"/>
      <c r="G58" s="624"/>
      <c r="H58" s="583"/>
      <c r="I58" s="524"/>
      <c r="J58" s="580"/>
      <c r="K58" s="505" t="s">
        <v>43</v>
      </c>
      <c r="L58" s="507" t="s">
        <v>44</v>
      </c>
      <c r="M58" s="509" t="s">
        <v>75</v>
      </c>
      <c r="N58" s="776"/>
      <c r="O58" s="495"/>
      <c r="P58" s="520"/>
      <c r="Q58" s="500"/>
      <c r="R58" s="500"/>
      <c r="S58" s="500"/>
      <c r="T58" s="500"/>
      <c r="U58" s="516"/>
      <c r="V58" s="524"/>
      <c r="W58" s="522"/>
      <c r="X58" s="505" t="s">
        <v>43</v>
      </c>
      <c r="Y58" s="507" t="s">
        <v>44</v>
      </c>
      <c r="Z58" s="509" t="s">
        <v>75</v>
      </c>
      <c r="AA58" s="776"/>
      <c r="AB58" s="496"/>
      <c r="AC58" s="518"/>
      <c r="AD58" s="500"/>
      <c r="AE58" s="500"/>
      <c r="AF58" s="500"/>
      <c r="AG58" s="500"/>
      <c r="AH58" s="516"/>
      <c r="AI58" s="524"/>
      <c r="AJ58" s="522"/>
      <c r="AK58" s="505" t="s">
        <v>43</v>
      </c>
      <c r="AL58" s="507" t="s">
        <v>44</v>
      </c>
      <c r="AM58" s="509" t="s">
        <v>75</v>
      </c>
      <c r="AN58" s="776"/>
      <c r="AO58" s="205"/>
      <c r="AP58" s="518"/>
      <c r="AQ58" s="500"/>
      <c r="AR58" s="500"/>
      <c r="AS58" s="500"/>
      <c r="AT58" s="500"/>
      <c r="AU58" s="516"/>
      <c r="AV58" s="524"/>
      <c r="AW58" s="522"/>
      <c r="AX58" s="505" t="s">
        <v>43</v>
      </c>
      <c r="AY58" s="507" t="s">
        <v>44</v>
      </c>
      <c r="AZ58" s="509" t="s">
        <v>75</v>
      </c>
      <c r="BA58" s="781"/>
      <c r="BB58" s="377"/>
      <c r="BC58" s="518"/>
      <c r="BD58" s="500"/>
      <c r="BE58" s="500"/>
      <c r="BF58" s="500"/>
      <c r="BG58" s="500"/>
      <c r="BH58" s="516"/>
      <c r="BI58" s="524"/>
      <c r="BJ58" s="522"/>
      <c r="BK58" s="505" t="s">
        <v>43</v>
      </c>
      <c r="BL58" s="507" t="s">
        <v>44</v>
      </c>
      <c r="BM58" s="509" t="s">
        <v>75</v>
      </c>
      <c r="BN58" s="776"/>
      <c r="BO58" s="479"/>
      <c r="BP58" s="518"/>
      <c r="BQ58" s="500"/>
      <c r="BR58" s="500"/>
      <c r="BS58" s="500"/>
      <c r="BT58" s="500"/>
      <c r="BU58" s="516"/>
      <c r="BV58" s="524"/>
      <c r="BW58" s="522"/>
      <c r="BX58" s="505" t="s">
        <v>43</v>
      </c>
      <c r="BY58" s="507" t="s">
        <v>44</v>
      </c>
      <c r="BZ58" s="509" t="s">
        <v>75</v>
      </c>
      <c r="CA58" s="776"/>
      <c r="CB58" s="258"/>
      <c r="CC58" s="518"/>
      <c r="CD58" s="500"/>
      <c r="CE58" s="500"/>
      <c r="CF58" s="500"/>
      <c r="CG58" s="500"/>
      <c r="CH58" s="516"/>
      <c r="CI58" s="524"/>
      <c r="CJ58" s="522"/>
      <c r="CK58" s="505" t="s">
        <v>43</v>
      </c>
      <c r="CL58" s="507" t="s">
        <v>44</v>
      </c>
      <c r="CM58" s="509" t="s">
        <v>75</v>
      </c>
      <c r="CN58" s="781"/>
      <c r="CO58" s="492"/>
      <c r="CP58" s="469"/>
      <c r="CQ58" s="469"/>
      <c r="CR58" s="469"/>
      <c r="CS58" s="469"/>
      <c r="CT58" s="469"/>
      <c r="CU58" s="474"/>
      <c r="CV58" s="471"/>
      <c r="CW58" s="482"/>
      <c r="CX58" s="410" t="s">
        <v>43</v>
      </c>
      <c r="CY58" s="476" t="s">
        <v>44</v>
      </c>
      <c r="CZ58" s="411" t="s">
        <v>75</v>
      </c>
      <c r="DA58" s="776"/>
      <c r="DB58" s="486"/>
      <c r="DC58" s="469"/>
      <c r="DD58" s="469"/>
      <c r="DE58" s="469"/>
      <c r="DF58" s="469"/>
      <c r="DG58" s="469"/>
      <c r="DH58" s="474"/>
      <c r="DI58" s="471"/>
      <c r="DJ58" s="482"/>
      <c r="DK58" s="410" t="s">
        <v>43</v>
      </c>
      <c r="DL58" s="476" t="s">
        <v>44</v>
      </c>
      <c r="DM58" s="411" t="s">
        <v>75</v>
      </c>
      <c r="DN58" s="776"/>
      <c r="DO58" s="489"/>
      <c r="DP58" s="469"/>
      <c r="DQ58" s="469"/>
      <c r="DR58" s="469"/>
      <c r="DS58" s="469"/>
      <c r="DT58" s="469"/>
      <c r="DU58" s="474"/>
      <c r="DV58" s="471"/>
      <c r="DW58" s="482"/>
      <c r="DX58" s="410" t="s">
        <v>43</v>
      </c>
      <c r="DY58" s="476" t="s">
        <v>44</v>
      </c>
      <c r="DZ58" s="411" t="s">
        <v>75</v>
      </c>
      <c r="EA58" s="776"/>
      <c r="EB58" s="428"/>
      <c r="EC58" s="469"/>
      <c r="ED58" s="469"/>
      <c r="EE58" s="469"/>
      <c r="EF58" s="469"/>
      <c r="EG58" s="469"/>
      <c r="EH58" s="474"/>
      <c r="EI58" s="471"/>
      <c r="EJ58" s="482"/>
      <c r="EK58" s="410" t="s">
        <v>43</v>
      </c>
      <c r="EL58" s="476" t="s">
        <v>44</v>
      </c>
      <c r="EM58" s="411" t="s">
        <v>75</v>
      </c>
      <c r="EN58" s="776"/>
      <c r="EO58" s="207"/>
      <c r="EP58" s="469"/>
      <c r="EQ58" s="469"/>
      <c r="ER58" s="469"/>
      <c r="ES58" s="469"/>
      <c r="ET58" s="469"/>
      <c r="EU58" s="474"/>
      <c r="EV58" s="471"/>
      <c r="EW58" s="482"/>
      <c r="EX58" s="410" t="s">
        <v>43</v>
      </c>
      <c r="EY58" s="476" t="s">
        <v>44</v>
      </c>
      <c r="EZ58" s="411" t="s">
        <v>75</v>
      </c>
      <c r="FA58" s="776"/>
      <c r="FB58" s="776"/>
      <c r="FC58" s="776"/>
      <c r="FD58" s="776"/>
      <c r="FE58" s="776"/>
      <c r="FF58" s="776"/>
      <c r="FG58" s="776"/>
      <c r="FH58" s="776"/>
      <c r="FI58" s="776"/>
      <c r="FJ58" s="776"/>
      <c r="FK58" s="776"/>
      <c r="FL58" s="776"/>
      <c r="FM58" s="776"/>
      <c r="FN58" s="776"/>
      <c r="FO58" s="776"/>
      <c r="FP58" s="776"/>
      <c r="FQ58" s="776"/>
      <c r="FR58" s="776"/>
      <c r="FS58" s="776"/>
      <c r="FT58" s="776"/>
      <c r="FU58" s="776"/>
      <c r="FV58" s="776"/>
      <c r="FW58" s="776"/>
      <c r="FX58" s="776"/>
      <c r="FY58" s="776"/>
      <c r="FZ58" s="776"/>
      <c r="GA58" s="776"/>
      <c r="GB58" s="776"/>
      <c r="GC58" s="776"/>
      <c r="GD58" s="776"/>
      <c r="GE58" s="776"/>
      <c r="GF58" s="776"/>
      <c r="GG58" s="776"/>
      <c r="GH58" s="776"/>
      <c r="GI58" s="776"/>
      <c r="GJ58" s="776"/>
      <c r="GK58" s="776"/>
      <c r="GL58" s="776"/>
      <c r="GM58" s="776"/>
      <c r="GN58" s="776"/>
      <c r="GO58" s="776"/>
      <c r="GP58" s="776"/>
      <c r="GQ58" s="776"/>
      <c r="GR58" s="776"/>
    </row>
    <row r="59" spans="1:200" s="208" customFormat="1" ht="14.25" customHeight="1" thickBot="1">
      <c r="A59" s="768"/>
      <c r="B59" s="841"/>
      <c r="C59" s="510"/>
      <c r="D59" s="517"/>
      <c r="E59" s="510"/>
      <c r="F59" s="510"/>
      <c r="G59" s="510"/>
      <c r="H59" s="584"/>
      <c r="I59" s="525"/>
      <c r="J59" s="581"/>
      <c r="K59" s="506"/>
      <c r="L59" s="508"/>
      <c r="M59" s="510"/>
      <c r="N59" s="769"/>
      <c r="O59" s="842"/>
      <c r="P59" s="521"/>
      <c r="Q59" s="501"/>
      <c r="R59" s="501"/>
      <c r="S59" s="501"/>
      <c r="T59" s="501"/>
      <c r="U59" s="517"/>
      <c r="V59" s="525"/>
      <c r="W59" s="523"/>
      <c r="X59" s="506"/>
      <c r="Y59" s="508"/>
      <c r="Z59" s="510"/>
      <c r="AA59" s="769"/>
      <c r="AB59" s="843"/>
      <c r="AC59" s="519"/>
      <c r="AD59" s="501"/>
      <c r="AE59" s="501"/>
      <c r="AF59" s="501"/>
      <c r="AG59" s="501"/>
      <c r="AH59" s="517"/>
      <c r="AI59" s="525"/>
      <c r="AJ59" s="523"/>
      <c r="AK59" s="506"/>
      <c r="AL59" s="508"/>
      <c r="AM59" s="510"/>
      <c r="AN59" s="769"/>
      <c r="AO59" s="784"/>
      <c r="AP59" s="519"/>
      <c r="AQ59" s="501"/>
      <c r="AR59" s="501"/>
      <c r="AS59" s="501"/>
      <c r="AT59" s="501"/>
      <c r="AU59" s="517"/>
      <c r="AV59" s="525"/>
      <c r="AW59" s="523"/>
      <c r="AX59" s="506"/>
      <c r="AY59" s="508"/>
      <c r="AZ59" s="510"/>
      <c r="BA59" s="769"/>
      <c r="BB59" s="844"/>
      <c r="BC59" s="519"/>
      <c r="BD59" s="501"/>
      <c r="BE59" s="501"/>
      <c r="BF59" s="501"/>
      <c r="BG59" s="501"/>
      <c r="BH59" s="517"/>
      <c r="BI59" s="525"/>
      <c r="BJ59" s="523"/>
      <c r="BK59" s="506"/>
      <c r="BL59" s="508"/>
      <c r="BM59" s="510"/>
      <c r="BN59" s="769"/>
      <c r="BO59" s="845"/>
      <c r="BP59" s="519"/>
      <c r="BQ59" s="501"/>
      <c r="BR59" s="501"/>
      <c r="BS59" s="501"/>
      <c r="BT59" s="501"/>
      <c r="BU59" s="517"/>
      <c r="BV59" s="525"/>
      <c r="BW59" s="523"/>
      <c r="BX59" s="506"/>
      <c r="BY59" s="508"/>
      <c r="BZ59" s="510"/>
      <c r="CA59" s="769"/>
      <c r="CB59" s="846"/>
      <c r="CC59" s="519"/>
      <c r="CD59" s="501"/>
      <c r="CE59" s="501"/>
      <c r="CF59" s="501"/>
      <c r="CG59" s="501"/>
      <c r="CH59" s="517"/>
      <c r="CI59" s="525"/>
      <c r="CJ59" s="523"/>
      <c r="CK59" s="506"/>
      <c r="CL59" s="508"/>
      <c r="CM59" s="510"/>
      <c r="CN59" s="781"/>
      <c r="CO59" s="847"/>
      <c r="CP59" s="470"/>
      <c r="CQ59" s="470"/>
      <c r="CR59" s="470"/>
      <c r="CS59" s="470"/>
      <c r="CT59" s="470"/>
      <c r="CU59" s="475"/>
      <c r="CV59" s="472"/>
      <c r="CW59" s="483"/>
      <c r="CX59" s="412"/>
      <c r="CY59" s="477"/>
      <c r="CZ59" s="413"/>
      <c r="DA59" s="769"/>
      <c r="DB59" s="848"/>
      <c r="DC59" s="470"/>
      <c r="DD59" s="470"/>
      <c r="DE59" s="470"/>
      <c r="DF59" s="470"/>
      <c r="DG59" s="470"/>
      <c r="DH59" s="475"/>
      <c r="DI59" s="472"/>
      <c r="DJ59" s="483"/>
      <c r="DK59" s="412"/>
      <c r="DL59" s="477"/>
      <c r="DM59" s="413"/>
      <c r="DN59" s="769"/>
      <c r="DO59" s="849"/>
      <c r="DP59" s="470"/>
      <c r="DQ59" s="470"/>
      <c r="DR59" s="470"/>
      <c r="DS59" s="470"/>
      <c r="DT59" s="470"/>
      <c r="DU59" s="475"/>
      <c r="DV59" s="472"/>
      <c r="DW59" s="483"/>
      <c r="DX59" s="412"/>
      <c r="DY59" s="477"/>
      <c r="DZ59" s="413"/>
      <c r="EA59" s="769"/>
      <c r="EB59" s="850"/>
      <c r="EC59" s="470"/>
      <c r="ED59" s="470"/>
      <c r="EE59" s="470"/>
      <c r="EF59" s="470"/>
      <c r="EG59" s="470"/>
      <c r="EH59" s="475"/>
      <c r="EI59" s="472"/>
      <c r="EJ59" s="483"/>
      <c r="EK59" s="412"/>
      <c r="EL59" s="477"/>
      <c r="EM59" s="413"/>
      <c r="EN59" s="769"/>
      <c r="EO59" s="851"/>
      <c r="EP59" s="470"/>
      <c r="EQ59" s="470"/>
      <c r="ER59" s="470"/>
      <c r="ES59" s="470"/>
      <c r="ET59" s="470"/>
      <c r="EU59" s="475"/>
      <c r="EV59" s="472"/>
      <c r="EW59" s="483"/>
      <c r="EX59" s="412"/>
      <c r="EY59" s="477"/>
      <c r="EZ59" s="413"/>
      <c r="FA59" s="776"/>
      <c r="FB59" s="776"/>
      <c r="FC59" s="776"/>
      <c r="FD59" s="776"/>
      <c r="FE59" s="776"/>
      <c r="FF59" s="776"/>
      <c r="FG59" s="776"/>
      <c r="FH59" s="776"/>
      <c r="FI59" s="776"/>
      <c r="FJ59" s="776"/>
      <c r="FK59" s="776"/>
      <c r="FL59" s="776"/>
      <c r="FM59" s="776"/>
      <c r="FN59" s="776"/>
      <c r="FO59" s="776"/>
      <c r="FP59" s="776"/>
      <c r="FQ59" s="776"/>
      <c r="FR59" s="776"/>
      <c r="FS59" s="776"/>
      <c r="FT59" s="776"/>
      <c r="FU59" s="776"/>
      <c r="FV59" s="776"/>
      <c r="FW59" s="776"/>
      <c r="FX59" s="776"/>
      <c r="FY59" s="776"/>
      <c r="FZ59" s="776"/>
      <c r="GA59" s="776"/>
      <c r="GB59" s="776"/>
      <c r="GC59" s="776"/>
      <c r="GD59" s="776"/>
      <c r="GE59" s="776"/>
      <c r="GF59" s="776"/>
      <c r="GG59" s="776"/>
      <c r="GH59" s="776"/>
      <c r="GI59" s="776"/>
      <c r="GJ59" s="776"/>
      <c r="GK59" s="776"/>
      <c r="GL59" s="776"/>
      <c r="GM59" s="776"/>
      <c r="GN59" s="776"/>
      <c r="GO59" s="776"/>
      <c r="GP59" s="776"/>
      <c r="GQ59" s="776"/>
      <c r="GR59" s="776"/>
    </row>
    <row r="60" spans="1:200" s="208" customFormat="1" ht="15" customHeight="1">
      <c r="A60" s="785"/>
      <c r="B60" s="447"/>
      <c r="C60" s="455" t="s">
        <v>46</v>
      </c>
      <c r="D60" s="447">
        <f>D6</f>
        <v>52131</v>
      </c>
      <c r="E60" s="852">
        <f>E6</f>
        <v>52245.909999999996</v>
      </c>
      <c r="F60" s="852">
        <f>F6</f>
        <v>507.33342999999991</v>
      </c>
      <c r="G60" s="214">
        <f>G6</f>
        <v>841.45000000000016</v>
      </c>
      <c r="H60" s="399">
        <f>+E60+F60-G60</f>
        <v>51911.793429999998</v>
      </c>
      <c r="I60" s="779">
        <f>IF(E60=0,"-",H60/E60)</f>
        <v>0.99360492390696231</v>
      </c>
      <c r="J60" s="779">
        <f>IF(ISERROR(G60/E60),"",G60/E60)</f>
        <v>1.6105566923803227E-2</v>
      </c>
      <c r="K60" s="770">
        <f>D60-E60</f>
        <v>-114.90999999999622</v>
      </c>
      <c r="L60" s="772">
        <f>E60-H60</f>
        <v>334.11656999999832</v>
      </c>
      <c r="M60" s="780">
        <f>D60-H60</f>
        <v>219.2065700000021</v>
      </c>
      <c r="N60" s="781"/>
      <c r="O60" s="793"/>
      <c r="P60" s="408" t="s">
        <v>46</v>
      </c>
      <c r="Q60" s="447">
        <f>Q6+D60</f>
        <v>104653</v>
      </c>
      <c r="R60" s="447">
        <f>R6+E60</f>
        <v>104414.29999999999</v>
      </c>
      <c r="S60" s="447">
        <f>S6+F60</f>
        <v>1014.7332999999999</v>
      </c>
      <c r="T60" s="772">
        <f>T6+G60</f>
        <v>1668.2833333333333</v>
      </c>
      <c r="U60" s="853">
        <f>+R60+S60-T60</f>
        <v>103760.74996666664</v>
      </c>
      <c r="V60" s="779">
        <f>IF(R60=0,"-",U60/R60)</f>
        <v>0.99374079955204075</v>
      </c>
      <c r="W60" s="779">
        <f>IF(ISERROR(T60/R60),"-",T60/R60)</f>
        <v>1.5977536921028379E-2</v>
      </c>
      <c r="X60" s="770">
        <f>Q60-R60</f>
        <v>238.70000000001164</v>
      </c>
      <c r="Y60" s="772">
        <f>R60-U60</f>
        <v>653.55003333334753</v>
      </c>
      <c r="Z60" s="780">
        <f>Q60-U60</f>
        <v>892.25003333335917</v>
      </c>
      <c r="AA60" s="781"/>
      <c r="AB60" s="783"/>
      <c r="AC60" s="408" t="s">
        <v>46</v>
      </c>
      <c r="AD60" s="447">
        <f>AD6+Q60</f>
        <v>154207</v>
      </c>
      <c r="AE60" s="447">
        <f>AE6+R60</f>
        <v>150806.51999999999</v>
      </c>
      <c r="AF60" s="447">
        <f>AF6+S60</f>
        <v>1529.7500399999999</v>
      </c>
      <c r="AG60" s="772">
        <f>AG6+T60</f>
        <v>2946.2</v>
      </c>
      <c r="AH60" s="853">
        <f>+AE60+AF60-AG60</f>
        <v>149390.07003999999</v>
      </c>
      <c r="AI60" s="779">
        <f>IF(AE60=0,"-",AH60/AE60)</f>
        <v>0.99060750185071578</v>
      </c>
      <c r="AJ60" s="779">
        <f>IF(ISERROR(AG60/AE60),"-",AG60/AE60)</f>
        <v>1.9536290606002978E-2</v>
      </c>
      <c r="AK60" s="770">
        <f>AD60-AE60</f>
        <v>3400.4800000000105</v>
      </c>
      <c r="AL60" s="772">
        <f>AE60-AH60</f>
        <v>1416.4499599999981</v>
      </c>
      <c r="AM60" s="780">
        <f>AD60-AH60</f>
        <v>4816.9299600000086</v>
      </c>
      <c r="AN60" s="781"/>
      <c r="AO60" s="784"/>
      <c r="AP60" s="408" t="s">
        <v>46</v>
      </c>
      <c r="AQ60" s="447">
        <f>AQ6+AD60</f>
        <v>205605</v>
      </c>
      <c r="AR60" s="853">
        <f>AR6+AE60</f>
        <v>200071.65</v>
      </c>
      <c r="AS60" s="853">
        <f>AS6+AF60</f>
        <v>2101.9501700000001</v>
      </c>
      <c r="AT60" s="785">
        <f>AT6+AG60</f>
        <v>4338.3167999999996</v>
      </c>
      <c r="AU60" s="853">
        <f>+AR60+AS60-AT60</f>
        <v>197835.28336999999</v>
      </c>
      <c r="AV60" s="818">
        <f>IF(AR60=0,"-",AU60/AR60)</f>
        <v>0.98882217130712924</v>
      </c>
      <c r="AW60" s="779">
        <f>IF(ISERROR(AT60/AR60),"-",AT60/AR60)</f>
        <v>2.1683815772999323E-2</v>
      </c>
      <c r="AX60" s="770">
        <f>AQ60-AR60</f>
        <v>5533.3500000000058</v>
      </c>
      <c r="AY60" s="772">
        <f>AR60-AU60</f>
        <v>2236.3666300000041</v>
      </c>
      <c r="AZ60" s="780">
        <f>AQ60-AU60</f>
        <v>7769.7166300000099</v>
      </c>
      <c r="BA60" s="781"/>
      <c r="BB60" s="786"/>
      <c r="BC60" s="408" t="s">
        <v>46</v>
      </c>
      <c r="BD60" s="447">
        <f>BD6+AQ60</f>
        <v>255550</v>
      </c>
      <c r="BE60" s="853">
        <f>BE6+AR60</f>
        <v>200071.65</v>
      </c>
      <c r="BF60" s="853">
        <f>BF6+AS60</f>
        <v>2101.9501700000001</v>
      </c>
      <c r="BG60" s="785">
        <f>BG6+AT60</f>
        <v>4338.3167999999996</v>
      </c>
      <c r="BH60" s="853">
        <f>+BE60+BF60-BG60</f>
        <v>197835.28336999999</v>
      </c>
      <c r="BI60" s="818">
        <f>IF(BE60=0,"-",BH60/BE60)</f>
        <v>0.98882217130712924</v>
      </c>
      <c r="BJ60" s="779">
        <f>IF(ISERROR(BG60/BE60),"-",BG60/BE60)</f>
        <v>2.1683815772999323E-2</v>
      </c>
      <c r="BK60" s="770">
        <f>BD60-BE60</f>
        <v>55478.350000000006</v>
      </c>
      <c r="BL60" s="772">
        <f>BE60-BH60</f>
        <v>2236.3666300000041</v>
      </c>
      <c r="BM60" s="780">
        <f>BD60-BH60</f>
        <v>57714.71663000001</v>
      </c>
      <c r="BN60" s="781"/>
      <c r="BO60" s="787"/>
      <c r="BP60" s="408" t="s">
        <v>46</v>
      </c>
      <c r="BQ60" s="447">
        <f>BQ6+BD60</f>
        <v>306948</v>
      </c>
      <c r="BR60" s="853">
        <f>BR6+BE60</f>
        <v>200071.65</v>
      </c>
      <c r="BS60" s="853">
        <f>BS6+BF60</f>
        <v>2101.9501700000001</v>
      </c>
      <c r="BT60" s="785">
        <f>BT6+BG60</f>
        <v>4338.3167999999996</v>
      </c>
      <c r="BU60" s="853">
        <f>+BR60+BS60-BT60</f>
        <v>197835.28336999999</v>
      </c>
      <c r="BV60" s="818">
        <f>IF(BR60=0,"-",BU60/BR60)</f>
        <v>0.98882217130712924</v>
      </c>
      <c r="BW60" s="779">
        <f>IF(ISERROR(BT60/BR60),"-",BT60/BR60)</f>
        <v>2.1683815772999323E-2</v>
      </c>
      <c r="BX60" s="770">
        <f>BQ60-BR60</f>
        <v>106876.35</v>
      </c>
      <c r="BY60" s="772">
        <f>BR60-BU60</f>
        <v>2236.3666300000041</v>
      </c>
      <c r="BZ60" s="780">
        <f>BQ60-BU60</f>
        <v>109112.71663000001</v>
      </c>
      <c r="CA60" s="781"/>
      <c r="CB60" s="794"/>
      <c r="CC60" s="408" t="s">
        <v>46</v>
      </c>
      <c r="CD60" s="853">
        <f>CD6+BQ60</f>
        <v>358346</v>
      </c>
      <c r="CE60" s="853">
        <f>CE6+BR60</f>
        <v>200071.65</v>
      </c>
      <c r="CF60" s="853">
        <f>CF6+BS60</f>
        <v>2101.9501700000001</v>
      </c>
      <c r="CG60" s="785">
        <f>CG6+BT60</f>
        <v>4338.3167999999996</v>
      </c>
      <c r="CH60" s="853">
        <f>+CE60+CF60-CG60</f>
        <v>197835.28336999999</v>
      </c>
      <c r="CI60" s="818">
        <f>IF(CE60=0,"-",CH60/CE60)</f>
        <v>0.98882217130712924</v>
      </c>
      <c r="CJ60" s="779">
        <f>IF(ISERROR(CG60/CE60),"-",CG60/CE60)</f>
        <v>2.1683815772999323E-2</v>
      </c>
      <c r="CK60" s="781">
        <f>CD60-CE60</f>
        <v>158274.35</v>
      </c>
      <c r="CL60" s="785">
        <f>CE60-CH60</f>
        <v>2236.3666300000041</v>
      </c>
      <c r="CM60" s="777">
        <f>CD60-CH60</f>
        <v>160510.71663000001</v>
      </c>
      <c r="CN60" s="770"/>
      <c r="CO60" s="789"/>
      <c r="CP60" s="408" t="s">
        <v>46</v>
      </c>
      <c r="CQ60" s="853">
        <f>CQ6+CD60</f>
        <v>407180</v>
      </c>
      <c r="CR60" s="853">
        <f>CR6+CE60</f>
        <v>200071.65</v>
      </c>
      <c r="CS60" s="853">
        <f>CS6+CF60</f>
        <v>2101.9501700000001</v>
      </c>
      <c r="CT60" s="785">
        <f>CT6+CG60</f>
        <v>4338.3167999999996</v>
      </c>
      <c r="CU60" s="853">
        <f>+CR60+CS60-CT60</f>
        <v>197835.28336999999</v>
      </c>
      <c r="CV60" s="818">
        <f>IF(CR60=0,"-",CU60/CR60)</f>
        <v>0.98882217130712924</v>
      </c>
      <c r="CW60" s="779">
        <f>IF(ISERROR(CT60/CR60),"-",CT60/CR60)</f>
        <v>2.1683815772999323E-2</v>
      </c>
      <c r="CX60" s="781">
        <f>CQ60-CR60</f>
        <v>207108.35</v>
      </c>
      <c r="CY60" s="785">
        <f>CR60-CU60</f>
        <v>2236.3666300000041</v>
      </c>
      <c r="CZ60" s="777">
        <f>CQ60-CU60</f>
        <v>209344.71663000001</v>
      </c>
      <c r="DA60" s="781"/>
      <c r="DB60" s="790"/>
      <c r="DC60" s="408" t="s">
        <v>46</v>
      </c>
      <c r="DD60" s="853">
        <f>DD6+CQ60</f>
        <v>459311</v>
      </c>
      <c r="DE60" s="853">
        <f>DE6+CR60</f>
        <v>200071.65</v>
      </c>
      <c r="DF60" s="853">
        <f>DF6+CS60</f>
        <v>2101.9501700000001</v>
      </c>
      <c r="DG60" s="785">
        <f>DG6+CT60</f>
        <v>4338.3167999999996</v>
      </c>
      <c r="DH60" s="853">
        <f>+DE60+DF60-DG60</f>
        <v>197835.28336999999</v>
      </c>
      <c r="DI60" s="818">
        <f>IF(DE60=0,"-",DH60/DE60)</f>
        <v>0.98882217130712924</v>
      </c>
      <c r="DJ60" s="779">
        <f>IF(ISERROR(DG60/DE60),"-",DG60/DE60)</f>
        <v>2.1683815772999323E-2</v>
      </c>
      <c r="DK60" s="781">
        <f>DD60-DE60</f>
        <v>259239.35</v>
      </c>
      <c r="DL60" s="785">
        <f>DE60-DH60</f>
        <v>2236.3666300000041</v>
      </c>
      <c r="DM60" s="777">
        <f>DD60-DH60</f>
        <v>261475.71663000001</v>
      </c>
      <c r="DN60" s="781"/>
      <c r="DO60" s="791"/>
      <c r="DP60" s="408" t="s">
        <v>46</v>
      </c>
      <c r="DQ60" s="853">
        <f>DQ6+DD60</f>
        <v>510331</v>
      </c>
      <c r="DR60" s="853">
        <f>DR6+DE60</f>
        <v>200071.65</v>
      </c>
      <c r="DS60" s="853">
        <f>DS6+DF60</f>
        <v>2101.9501700000001</v>
      </c>
      <c r="DT60" s="785">
        <f>DT6+DG60</f>
        <v>4338.3167999999996</v>
      </c>
      <c r="DU60" s="853">
        <f>+DR60+DS60-DT60</f>
        <v>197835.28336999999</v>
      </c>
      <c r="DV60" s="818">
        <f>IF(DR60=0,"-",DU60/DR60)</f>
        <v>0.98882217130712924</v>
      </c>
      <c r="DW60" s="779">
        <f>IF(ISERROR(DT60/DR60),"-",DT60/DR60)</f>
        <v>2.1683815772999323E-2</v>
      </c>
      <c r="DX60" s="781">
        <f>DQ60-DR60</f>
        <v>310259.34999999998</v>
      </c>
      <c r="DY60" s="785">
        <f>DR60-DU60</f>
        <v>2236.3666300000041</v>
      </c>
      <c r="DZ60" s="777">
        <f>DQ60-DU60</f>
        <v>312495.71663000004</v>
      </c>
      <c r="EA60" s="781"/>
      <c r="EB60" s="429"/>
      <c r="EC60" s="408" t="s">
        <v>46</v>
      </c>
      <c r="ED60" s="853">
        <f>ED6+DQ60</f>
        <v>561387</v>
      </c>
      <c r="EE60" s="853">
        <f>EE6+DR60</f>
        <v>200071.65</v>
      </c>
      <c r="EF60" s="853">
        <f>EF6+DS60</f>
        <v>2101.9501700000001</v>
      </c>
      <c r="EG60" s="772">
        <f>EG6+DT60</f>
        <v>4338.3167999999996</v>
      </c>
      <c r="EH60" s="853">
        <f>+EE60+EF60-EG60</f>
        <v>197835.28336999999</v>
      </c>
      <c r="EI60" s="818">
        <f>IF(EE60=0,"-",EH60/EE60)</f>
        <v>0.98882217130712924</v>
      </c>
      <c r="EJ60" s="779">
        <f>IF(ISERROR(EG60/EE60),"-",EG60/EE60)</f>
        <v>2.1683815772999323E-2</v>
      </c>
      <c r="EK60" s="781">
        <f>ED60-EE60</f>
        <v>361315.35</v>
      </c>
      <c r="EL60" s="785">
        <f>EE60-EH60</f>
        <v>2236.3666300000041</v>
      </c>
      <c r="EM60" s="777">
        <f>ED60-EH60</f>
        <v>363551.71663000004</v>
      </c>
      <c r="EN60" s="781"/>
      <c r="EO60" s="792"/>
      <c r="EP60" s="408" t="s">
        <v>46</v>
      </c>
      <c r="EQ60" s="447">
        <f>EQ6+ED60</f>
        <v>612407</v>
      </c>
      <c r="ER60" s="853">
        <f>ER6+EE60</f>
        <v>200071.65</v>
      </c>
      <c r="ES60" s="853">
        <f>ES6+EF60</f>
        <v>2101.9501700000001</v>
      </c>
      <c r="ET60" s="785">
        <f>ET6+EG60</f>
        <v>4338.3167999999996</v>
      </c>
      <c r="EU60" s="853">
        <f>+ER60+ES60-ET60</f>
        <v>197835.28336999999</v>
      </c>
      <c r="EV60" s="818">
        <f>IF(ER60=0,"-",EU60/ER60)</f>
        <v>0.98882217130712924</v>
      </c>
      <c r="EW60" s="779">
        <f>IF(ISERROR(ET60/ER60),"-",ET60/ER60)</f>
        <v>2.1683815772999323E-2</v>
      </c>
      <c r="EX60" s="781">
        <f>EQ60-ER60</f>
        <v>412335.35</v>
      </c>
      <c r="EY60" s="785">
        <f>ER60-EU60</f>
        <v>2236.3666300000041</v>
      </c>
      <c r="EZ60" s="777">
        <f>EQ60-EU60</f>
        <v>414571.71663000004</v>
      </c>
      <c r="FA60" s="776"/>
      <c r="FB60" s="776"/>
      <c r="FC60" s="776"/>
      <c r="FD60" s="776"/>
      <c r="FE60" s="776"/>
      <c r="FF60" s="776"/>
      <c r="FG60" s="776"/>
      <c r="FH60" s="776"/>
      <c r="FI60" s="776"/>
      <c r="FJ60" s="776"/>
      <c r="FK60" s="776"/>
      <c r="FL60" s="776"/>
      <c r="FM60" s="776"/>
      <c r="FN60" s="776"/>
      <c r="FO60" s="776"/>
      <c r="FP60" s="776"/>
      <c r="FQ60" s="776"/>
      <c r="FR60" s="776"/>
      <c r="FS60" s="776"/>
      <c r="FT60" s="776"/>
      <c r="FU60" s="776"/>
      <c r="FV60" s="776"/>
      <c r="FW60" s="776"/>
      <c r="FX60" s="776"/>
      <c r="FY60" s="776"/>
      <c r="FZ60" s="776"/>
      <c r="GA60" s="776"/>
      <c r="GB60" s="776"/>
      <c r="GC60" s="776"/>
      <c r="GD60" s="776"/>
      <c r="GE60" s="776"/>
      <c r="GF60" s="776"/>
      <c r="GG60" s="776"/>
      <c r="GH60" s="776"/>
      <c r="GI60" s="776"/>
      <c r="GJ60" s="776"/>
      <c r="GK60" s="776"/>
      <c r="GL60" s="776"/>
      <c r="GM60" s="776"/>
      <c r="GN60" s="776"/>
      <c r="GO60" s="776"/>
      <c r="GP60" s="776"/>
      <c r="GQ60" s="776"/>
      <c r="GR60" s="776"/>
    </row>
    <row r="61" spans="1:200" s="208" customFormat="1" ht="15" customHeight="1">
      <c r="A61" s="785"/>
      <c r="B61" s="447"/>
      <c r="C61" s="455"/>
      <c r="D61" s="447"/>
      <c r="E61" s="852"/>
      <c r="F61" s="852"/>
      <c r="G61" s="214"/>
      <c r="H61" s="399"/>
      <c r="I61" s="779"/>
      <c r="J61" s="779"/>
      <c r="K61" s="770"/>
      <c r="L61" s="772"/>
      <c r="M61" s="780"/>
      <c r="N61" s="781"/>
      <c r="O61" s="793"/>
      <c r="P61" s="408"/>
      <c r="Q61" s="447"/>
      <c r="R61" s="447"/>
      <c r="S61" s="447"/>
      <c r="T61" s="772"/>
      <c r="U61" s="853"/>
      <c r="V61" s="779"/>
      <c r="W61" s="779"/>
      <c r="X61" s="770"/>
      <c r="Y61" s="772"/>
      <c r="Z61" s="780"/>
      <c r="AA61" s="781"/>
      <c r="AB61" s="783"/>
      <c r="AC61" s="408"/>
      <c r="AD61" s="447"/>
      <c r="AE61" s="447"/>
      <c r="AF61" s="447"/>
      <c r="AG61" s="772"/>
      <c r="AH61" s="853"/>
      <c r="AI61" s="779"/>
      <c r="AJ61" s="779"/>
      <c r="AK61" s="770"/>
      <c r="AL61" s="772"/>
      <c r="AM61" s="780"/>
      <c r="AN61" s="781"/>
      <c r="AO61" s="784"/>
      <c r="AP61" s="408"/>
      <c r="AQ61" s="447"/>
      <c r="AR61" s="853"/>
      <c r="AS61" s="853"/>
      <c r="AT61" s="785"/>
      <c r="AU61" s="853"/>
      <c r="AV61" s="818"/>
      <c r="AW61" s="779"/>
      <c r="AX61" s="770"/>
      <c r="AY61" s="772"/>
      <c r="AZ61" s="780"/>
      <c r="BA61" s="781"/>
      <c r="BB61" s="786"/>
      <c r="BC61" s="408"/>
      <c r="BD61" s="447"/>
      <c r="BE61" s="853"/>
      <c r="BF61" s="853"/>
      <c r="BG61" s="785"/>
      <c r="BH61" s="853"/>
      <c r="BI61" s="818"/>
      <c r="BJ61" s="779"/>
      <c r="BK61" s="770"/>
      <c r="BL61" s="772"/>
      <c r="BM61" s="780"/>
      <c r="BN61" s="781"/>
      <c r="BO61" s="787"/>
      <c r="BP61" s="408"/>
      <c r="BQ61" s="447"/>
      <c r="BR61" s="853"/>
      <c r="BS61" s="853"/>
      <c r="BT61" s="785"/>
      <c r="BU61" s="853"/>
      <c r="BV61" s="818"/>
      <c r="BW61" s="779"/>
      <c r="BX61" s="770"/>
      <c r="BY61" s="772"/>
      <c r="BZ61" s="780"/>
      <c r="CA61" s="781"/>
      <c r="CB61" s="794"/>
      <c r="CC61" s="408"/>
      <c r="CD61" s="853"/>
      <c r="CE61" s="853"/>
      <c r="CF61" s="853"/>
      <c r="CG61" s="785"/>
      <c r="CH61" s="853"/>
      <c r="CI61" s="818"/>
      <c r="CJ61" s="779"/>
      <c r="CK61" s="781"/>
      <c r="CL61" s="785"/>
      <c r="CM61" s="777"/>
      <c r="CN61" s="770"/>
      <c r="CO61" s="789"/>
      <c r="CP61" s="408"/>
      <c r="CQ61" s="853"/>
      <c r="CR61" s="853"/>
      <c r="CS61" s="853"/>
      <c r="CT61" s="785"/>
      <c r="CU61" s="853"/>
      <c r="CV61" s="818"/>
      <c r="CW61" s="779"/>
      <c r="CX61" s="781"/>
      <c r="CY61" s="785"/>
      <c r="CZ61" s="777"/>
      <c r="DA61" s="781"/>
      <c r="DB61" s="790"/>
      <c r="DC61" s="408"/>
      <c r="DD61" s="853"/>
      <c r="DE61" s="853"/>
      <c r="DF61" s="853"/>
      <c r="DG61" s="785"/>
      <c r="DH61" s="853"/>
      <c r="DI61" s="818"/>
      <c r="DJ61" s="779"/>
      <c r="DK61" s="781"/>
      <c r="DL61" s="785"/>
      <c r="DM61" s="777"/>
      <c r="DN61" s="781"/>
      <c r="DO61" s="791"/>
      <c r="DP61" s="408"/>
      <c r="DQ61" s="853"/>
      <c r="DR61" s="853"/>
      <c r="DS61" s="853"/>
      <c r="DT61" s="785"/>
      <c r="DU61" s="853"/>
      <c r="DV61" s="818"/>
      <c r="DW61" s="779"/>
      <c r="DX61" s="781"/>
      <c r="DY61" s="785"/>
      <c r="DZ61" s="777"/>
      <c r="EA61" s="781"/>
      <c r="EB61" s="429"/>
      <c r="EC61" s="408"/>
      <c r="ED61" s="853"/>
      <c r="EE61" s="853"/>
      <c r="EF61" s="853"/>
      <c r="EG61" s="772"/>
      <c r="EH61" s="853"/>
      <c r="EI61" s="818"/>
      <c r="EJ61" s="779"/>
      <c r="EK61" s="781"/>
      <c r="EL61" s="785"/>
      <c r="EM61" s="777"/>
      <c r="EN61" s="781"/>
      <c r="EO61" s="792"/>
      <c r="EP61" s="408"/>
      <c r="EQ61" s="447"/>
      <c r="ER61" s="853"/>
      <c r="ES61" s="853"/>
      <c r="ET61" s="785"/>
      <c r="EU61" s="853"/>
      <c r="EV61" s="818"/>
      <c r="EW61" s="779"/>
      <c r="EX61" s="781"/>
      <c r="EY61" s="785"/>
      <c r="EZ61" s="777"/>
      <c r="FA61" s="776"/>
      <c r="FB61" s="776"/>
      <c r="FC61" s="776"/>
      <c r="FD61" s="776"/>
      <c r="FE61" s="776"/>
      <c r="FF61" s="776"/>
      <c r="FG61" s="776"/>
      <c r="FH61" s="776"/>
      <c r="FI61" s="776"/>
      <c r="FJ61" s="776"/>
      <c r="FK61" s="776"/>
      <c r="FL61" s="776"/>
      <c r="FM61" s="776"/>
      <c r="FN61" s="776"/>
      <c r="FO61" s="776"/>
      <c r="FP61" s="776"/>
      <c r="FQ61" s="776"/>
      <c r="FR61" s="776"/>
      <c r="FS61" s="776"/>
      <c r="FT61" s="776"/>
      <c r="FU61" s="776"/>
      <c r="FV61" s="776"/>
      <c r="FW61" s="776"/>
      <c r="FX61" s="776"/>
      <c r="FY61" s="776"/>
      <c r="FZ61" s="776"/>
      <c r="GA61" s="776"/>
      <c r="GB61" s="776"/>
      <c r="GC61" s="776"/>
      <c r="GD61" s="776"/>
      <c r="GE61" s="776"/>
      <c r="GF61" s="776"/>
      <c r="GG61" s="776"/>
      <c r="GH61" s="776"/>
      <c r="GI61" s="776"/>
      <c r="GJ61" s="776"/>
      <c r="GK61" s="776"/>
      <c r="GL61" s="776"/>
      <c r="GM61" s="776"/>
      <c r="GN61" s="776"/>
      <c r="GO61" s="776"/>
      <c r="GP61" s="776"/>
      <c r="GQ61" s="776"/>
      <c r="GR61" s="776"/>
    </row>
    <row r="62" spans="1:200" s="208" customFormat="1" ht="15" customHeight="1">
      <c r="A62" s="772"/>
      <c r="B62" s="447"/>
      <c r="C62" s="455" t="s">
        <v>47</v>
      </c>
      <c r="D62" s="447">
        <f>D8</f>
        <v>45037</v>
      </c>
      <c r="E62" s="852">
        <f>E8</f>
        <v>44743.450000000004</v>
      </c>
      <c r="F62" s="852">
        <f>F8</f>
        <v>568.51690000000008</v>
      </c>
      <c r="G62" s="214">
        <f>G8</f>
        <v>999.4</v>
      </c>
      <c r="H62" s="399">
        <f>+E62+F62-G62</f>
        <v>44312.566900000005</v>
      </c>
      <c r="I62" s="779">
        <f>IF(E62=0,"-",H62/E62)</f>
        <v>0.9903699178315486</v>
      </c>
      <c r="J62" s="779">
        <f>IF(ISERROR(G62/E62),"",G62/E62)</f>
        <v>2.2336230219171742E-2</v>
      </c>
      <c r="K62" s="770">
        <f>D62-E62</f>
        <v>293.54999999999563</v>
      </c>
      <c r="L62" s="772">
        <f>E62-H62</f>
        <v>430.8830999999991</v>
      </c>
      <c r="M62" s="780">
        <f>D62-H62</f>
        <v>724.43309999999474</v>
      </c>
      <c r="N62" s="770"/>
      <c r="O62" s="793"/>
      <c r="P62" s="408" t="s">
        <v>47</v>
      </c>
      <c r="Q62" s="447">
        <f>Q8+D62</f>
        <v>90355</v>
      </c>
      <c r="R62" s="447">
        <f>R8+E62</f>
        <v>90029.06700000001</v>
      </c>
      <c r="S62" s="447">
        <f>S8+F62</f>
        <v>1274.7168000000001</v>
      </c>
      <c r="T62" s="772">
        <f>T8+G62</f>
        <v>1940.1833333333334</v>
      </c>
      <c r="U62" s="853">
        <f>+R62+S62-T62</f>
        <v>89363.60046666667</v>
      </c>
      <c r="V62" s="779">
        <f>IF(R62=0,"-",U62/R62)</f>
        <v>0.99260831467537769</v>
      </c>
      <c r="W62" s="779">
        <f t="shared" ref="W62:W80" si="288">IF(ISERROR(T62/R62),"-",T62/R62)</f>
        <v>2.1550632456663502E-2</v>
      </c>
      <c r="X62" s="770">
        <f t="shared" ref="X62:X80" si="289">Q62-R62</f>
        <v>325.93299999998999</v>
      </c>
      <c r="Y62" s="772">
        <f t="shared" ref="Y62:Y80" si="290">R62-U62</f>
        <v>665.46653333333961</v>
      </c>
      <c r="Z62" s="780">
        <f t="shared" ref="Z62:Z80" si="291">Q62-U62</f>
        <v>991.3995333333296</v>
      </c>
      <c r="AA62" s="770"/>
      <c r="AB62" s="783"/>
      <c r="AC62" s="408" t="s">
        <v>47</v>
      </c>
      <c r="AD62" s="447">
        <f>AD8+Q62</f>
        <v>133308</v>
      </c>
      <c r="AE62" s="447">
        <f>AE8+R62</f>
        <v>132820.234</v>
      </c>
      <c r="AF62" s="447">
        <f>AF8+S62</f>
        <v>2193.1834699999999</v>
      </c>
      <c r="AG62" s="772">
        <f>AG8+T62</f>
        <v>2868.5</v>
      </c>
      <c r="AH62" s="853">
        <f>+AE62+AF62-AG62</f>
        <v>132144.91746999999</v>
      </c>
      <c r="AI62" s="779">
        <f>IF(AE62=0,"-",AH62/AE62)</f>
        <v>0.99491555985362889</v>
      </c>
      <c r="AJ62" s="779">
        <f t="shared" ref="AJ62:AJ80" si="292">IF(ISERROR(AG62/AE62),"-",AG62/AE62)</f>
        <v>2.1596860008543578E-2</v>
      </c>
      <c r="AK62" s="770">
        <f>AD62-AE62</f>
        <v>487.76600000000326</v>
      </c>
      <c r="AL62" s="772">
        <f>AE62-AH62</f>
        <v>675.31653000001097</v>
      </c>
      <c r="AM62" s="780">
        <f>AD62-AH62</f>
        <v>1163.0825300000142</v>
      </c>
      <c r="AN62" s="770"/>
      <c r="AO62" s="784"/>
      <c r="AP62" s="408" t="s">
        <v>47</v>
      </c>
      <c r="AQ62" s="447">
        <f>AQ8+AD62</f>
        <v>177828</v>
      </c>
      <c r="AR62" s="853">
        <f>AR8+AE62</f>
        <v>177843.59399999998</v>
      </c>
      <c r="AS62" s="853">
        <f>AS8+AF62</f>
        <v>3157.6000000000004</v>
      </c>
      <c r="AT62" s="785">
        <f>AT8+AG62</f>
        <v>3938.91653</v>
      </c>
      <c r="AU62" s="853">
        <f>+AR62+AS62-AT62</f>
        <v>177062.27747</v>
      </c>
      <c r="AV62" s="818">
        <f>IF(AR62=0,"-",AU62/AR62)</f>
        <v>0.99560672098203329</v>
      </c>
      <c r="AW62" s="779">
        <f t="shared" ref="AW62:AW80" si="293">IF(ISERROR(AT62/AR62),"-",AT62/AR62)</f>
        <v>2.214820585553394E-2</v>
      </c>
      <c r="AX62" s="770">
        <f>AQ62-AR62</f>
        <v>-15.593999999982771</v>
      </c>
      <c r="AY62" s="772">
        <f>AR62-AU62</f>
        <v>781.31652999998187</v>
      </c>
      <c r="AZ62" s="780">
        <f>AQ62-AU62</f>
        <v>765.7225299999991</v>
      </c>
      <c r="BA62" s="770"/>
      <c r="BB62" s="786"/>
      <c r="BC62" s="408" t="s">
        <v>47</v>
      </c>
      <c r="BD62" s="447">
        <f>BD8+AQ62</f>
        <v>221061</v>
      </c>
      <c r="BE62" s="853">
        <f>BE8+AR62</f>
        <v>177843.59399999998</v>
      </c>
      <c r="BF62" s="853">
        <f>BF8+AS62</f>
        <v>3157.6000000000004</v>
      </c>
      <c r="BG62" s="785">
        <f>BG8+AT62</f>
        <v>3938.91653</v>
      </c>
      <c r="BH62" s="853">
        <f>+BE62+BF62-BG62</f>
        <v>177062.27747</v>
      </c>
      <c r="BI62" s="818">
        <f t="shared" ref="BI62:BI80" si="294">IF(BE62=0,"-",BH62/BE62)</f>
        <v>0.99560672098203329</v>
      </c>
      <c r="BJ62" s="779">
        <f t="shared" ref="BJ62:BJ80" si="295">IF(ISERROR(BG62/BE62),"-",BG62/BE62)</f>
        <v>2.214820585553394E-2</v>
      </c>
      <c r="BK62" s="770">
        <f>BD62-BE62</f>
        <v>43217.406000000017</v>
      </c>
      <c r="BL62" s="772">
        <f>BE62-BH62</f>
        <v>781.31652999998187</v>
      </c>
      <c r="BM62" s="780">
        <f>BD62-BH62</f>
        <v>43998.722529999999</v>
      </c>
      <c r="BN62" s="770"/>
      <c r="BO62" s="787"/>
      <c r="BP62" s="408" t="s">
        <v>47</v>
      </c>
      <c r="BQ62" s="447">
        <f>BQ8+BD62</f>
        <v>265581</v>
      </c>
      <c r="BR62" s="853">
        <f>BR8+BE62</f>
        <v>177843.59399999998</v>
      </c>
      <c r="BS62" s="853">
        <f>BS8+BF62</f>
        <v>3157.6000000000004</v>
      </c>
      <c r="BT62" s="785">
        <f>BT8+BG62</f>
        <v>3938.91653</v>
      </c>
      <c r="BU62" s="853">
        <f>+BR62+BS62-BT62</f>
        <v>177062.27747</v>
      </c>
      <c r="BV62" s="818">
        <f t="shared" ref="BV62:BV80" si="296">IF(BR62=0,"-",BU62/BR62)</f>
        <v>0.99560672098203329</v>
      </c>
      <c r="BW62" s="779">
        <f t="shared" ref="BW62:BW80" si="297">IF(ISERROR(BT62/BR62),"-",BT62/BR62)</f>
        <v>2.214820585553394E-2</v>
      </c>
      <c r="BX62" s="770">
        <f>BQ62-BR62</f>
        <v>87737.406000000017</v>
      </c>
      <c r="BY62" s="772">
        <f>BR62-BU62</f>
        <v>781.31652999998187</v>
      </c>
      <c r="BZ62" s="780">
        <f>BQ62-BU62</f>
        <v>88518.722529999999</v>
      </c>
      <c r="CA62" s="770"/>
      <c r="CB62" s="794"/>
      <c r="CC62" s="408" t="s">
        <v>47</v>
      </c>
      <c r="CD62" s="853">
        <f>CD8+BQ62</f>
        <v>310101</v>
      </c>
      <c r="CE62" s="853">
        <f>CE8+BR62</f>
        <v>177843.59399999998</v>
      </c>
      <c r="CF62" s="853">
        <f>CF8+BS62</f>
        <v>3157.6000000000004</v>
      </c>
      <c r="CG62" s="785">
        <f>CG8+BT62</f>
        <v>3938.91653</v>
      </c>
      <c r="CH62" s="853">
        <f>+CE62+CF62-CG62</f>
        <v>177062.27747</v>
      </c>
      <c r="CI62" s="818">
        <f t="shared" ref="CI62:CI80" si="298">IF(CE62=0,"-",CH62/CE62)</f>
        <v>0.99560672098203329</v>
      </c>
      <c r="CJ62" s="779">
        <f t="shared" ref="CJ62:CJ80" si="299">IF(ISERROR(CG62/CE62),"-",CG62/CE62)</f>
        <v>2.214820585553394E-2</v>
      </c>
      <c r="CK62" s="781">
        <f>CD62-CE62</f>
        <v>132257.40600000002</v>
      </c>
      <c r="CL62" s="785">
        <f>CE62-CH62</f>
        <v>781.31652999998187</v>
      </c>
      <c r="CM62" s="777">
        <f>CD62-CH62</f>
        <v>133038.72253</v>
      </c>
      <c r="CN62" s="781"/>
      <c r="CO62" s="789"/>
      <c r="CP62" s="408" t="s">
        <v>47</v>
      </c>
      <c r="CQ62" s="853">
        <f>CQ8+CD62</f>
        <v>352285</v>
      </c>
      <c r="CR62" s="853">
        <f>CR8+CE62</f>
        <v>177843.59399999998</v>
      </c>
      <c r="CS62" s="853">
        <f>CS8+CF62</f>
        <v>3157.6000000000004</v>
      </c>
      <c r="CT62" s="785">
        <f>CT8+CG62</f>
        <v>3938.91653</v>
      </c>
      <c r="CU62" s="853">
        <f>+CR62+CS62-CT62</f>
        <v>177062.27747</v>
      </c>
      <c r="CV62" s="818">
        <f t="shared" ref="CV62:CV80" si="300">IF(CR62=0,"-",CU62/CR62)</f>
        <v>0.99560672098203329</v>
      </c>
      <c r="CW62" s="779">
        <f t="shared" ref="CW62:CW80" si="301">IF(ISERROR(CT62/CR62),"-",CT62/CR62)</f>
        <v>2.214820585553394E-2</v>
      </c>
      <c r="CX62" s="781">
        <f>CQ62-CR62</f>
        <v>174441.40600000002</v>
      </c>
      <c r="CY62" s="785">
        <f>CR62-CU62</f>
        <v>781.31652999998187</v>
      </c>
      <c r="CZ62" s="777">
        <f>CQ62-CU62</f>
        <v>175222.72253</v>
      </c>
      <c r="DA62" s="770"/>
      <c r="DB62" s="790"/>
      <c r="DC62" s="408" t="s">
        <v>47</v>
      </c>
      <c r="DD62" s="853">
        <f>DD8+CQ62</f>
        <v>397322</v>
      </c>
      <c r="DE62" s="853">
        <f>DE8+CR62</f>
        <v>177843.59399999998</v>
      </c>
      <c r="DF62" s="853">
        <f>DF8+CS62</f>
        <v>3157.6000000000004</v>
      </c>
      <c r="DG62" s="785">
        <f>DG8+CT62</f>
        <v>3938.91653</v>
      </c>
      <c r="DH62" s="853">
        <f>+DE62+DF62-DG62</f>
        <v>177062.27747</v>
      </c>
      <c r="DI62" s="818">
        <f t="shared" ref="DI62:DI80" si="302">IF(DE62=0,"-",DH62/DE62)</f>
        <v>0.99560672098203329</v>
      </c>
      <c r="DJ62" s="779">
        <f t="shared" ref="DJ62:DJ80" si="303">IF(ISERROR(DG62/DE62),"-",DG62/DE62)</f>
        <v>2.214820585553394E-2</v>
      </c>
      <c r="DK62" s="781">
        <f>DD62-DE62</f>
        <v>219478.40600000002</v>
      </c>
      <c r="DL62" s="785">
        <f>DE62-DH62</f>
        <v>781.31652999998187</v>
      </c>
      <c r="DM62" s="777">
        <f>DD62-DH62</f>
        <v>220259.72253</v>
      </c>
      <c r="DN62" s="770"/>
      <c r="DO62" s="791"/>
      <c r="DP62" s="408" t="s">
        <v>47</v>
      </c>
      <c r="DQ62" s="853">
        <f>DQ8+DD62</f>
        <v>441310</v>
      </c>
      <c r="DR62" s="853">
        <f>DR8+DE62</f>
        <v>177843.59399999998</v>
      </c>
      <c r="DS62" s="853">
        <f>DS8+DF62</f>
        <v>3157.6000000000004</v>
      </c>
      <c r="DT62" s="785">
        <f>DT8+DG62</f>
        <v>3938.91653</v>
      </c>
      <c r="DU62" s="853">
        <f>+DR62+DS62-DT62</f>
        <v>177062.27747</v>
      </c>
      <c r="DV62" s="818">
        <f t="shared" ref="DV62:DV80" si="304">IF(DR62=0,"-",DU62/DR62)</f>
        <v>0.99560672098203329</v>
      </c>
      <c r="DW62" s="779">
        <f t="shared" ref="DW62:DW80" si="305">IF(ISERROR(DT62/DR62),"-",DT62/DR62)</f>
        <v>2.214820585553394E-2</v>
      </c>
      <c r="DX62" s="781">
        <f>DQ62-DR62</f>
        <v>263466.40600000002</v>
      </c>
      <c r="DY62" s="785">
        <f>DR62-DU62</f>
        <v>781.31652999998187</v>
      </c>
      <c r="DZ62" s="777">
        <f>DQ62-DU62</f>
        <v>264247.72253000003</v>
      </c>
      <c r="EA62" s="770"/>
      <c r="EB62" s="429"/>
      <c r="EC62" s="408" t="s">
        <v>47</v>
      </c>
      <c r="ED62" s="853">
        <f>ED8+DQ62</f>
        <v>485592</v>
      </c>
      <c r="EE62" s="853">
        <f>EE8+DR62</f>
        <v>177843.59399999998</v>
      </c>
      <c r="EF62" s="853">
        <f>EF8+DS62</f>
        <v>3157.6000000000004</v>
      </c>
      <c r="EG62" s="772">
        <f>EG8+DT62</f>
        <v>3938.91653</v>
      </c>
      <c r="EH62" s="853">
        <f>+EE62+EF62-EG62</f>
        <v>177062.27747</v>
      </c>
      <c r="EI62" s="818">
        <f t="shared" ref="EI62:EI80" si="306">IF(EE62=0,"-",EH62/EE62)</f>
        <v>0.99560672098203329</v>
      </c>
      <c r="EJ62" s="779">
        <f t="shared" ref="EJ62:EJ80" si="307">IF(ISERROR(EG62/EE62),"-",EG62/EE62)</f>
        <v>2.214820585553394E-2</v>
      </c>
      <c r="EK62" s="781">
        <f>ED62-EE62</f>
        <v>307748.40600000002</v>
      </c>
      <c r="EL62" s="785">
        <f>EE62-EH62</f>
        <v>781.31652999998187</v>
      </c>
      <c r="EM62" s="777">
        <f>ED62-EH62</f>
        <v>308529.72253000003</v>
      </c>
      <c r="EN62" s="770"/>
      <c r="EO62" s="792"/>
      <c r="EP62" s="408" t="s">
        <v>47</v>
      </c>
      <c r="EQ62" s="447">
        <f>EQ8+ED62</f>
        <v>529580</v>
      </c>
      <c r="ER62" s="853">
        <f>ER8+EE62</f>
        <v>177843.59399999998</v>
      </c>
      <c r="ES62" s="853">
        <f>ES8+EF62</f>
        <v>3157.6000000000004</v>
      </c>
      <c r="ET62" s="785">
        <f>ET8+EG62</f>
        <v>3938.91653</v>
      </c>
      <c r="EU62" s="853">
        <f>+ER62+ES62-ET62</f>
        <v>177062.27747</v>
      </c>
      <c r="EV62" s="818">
        <f t="shared" ref="EV62:EV80" si="308">IF(ER62=0,"-",EU62/ER62)</f>
        <v>0.99560672098203329</v>
      </c>
      <c r="EW62" s="779">
        <f t="shared" ref="EW62:EW80" si="309">IF(ISERROR(ET62/ER62),"-",ET62/ER62)</f>
        <v>2.214820585553394E-2</v>
      </c>
      <c r="EX62" s="781">
        <f>EQ62-ER62</f>
        <v>351736.40600000002</v>
      </c>
      <c r="EY62" s="785">
        <f>ER62-EU62</f>
        <v>781.31652999998187</v>
      </c>
      <c r="EZ62" s="777">
        <f>EQ62-EU62</f>
        <v>352517.72253000003</v>
      </c>
      <c r="FA62" s="776"/>
      <c r="FB62" s="776"/>
      <c r="FC62" s="776"/>
      <c r="FD62" s="776"/>
      <c r="FE62" s="776"/>
      <c r="FF62" s="776"/>
      <c r="FG62" s="776"/>
      <c r="FH62" s="776"/>
      <c r="FI62" s="776"/>
      <c r="FJ62" s="776"/>
      <c r="FK62" s="776"/>
      <c r="FL62" s="776"/>
      <c r="FM62" s="776"/>
      <c r="FN62" s="776"/>
      <c r="FO62" s="776"/>
      <c r="FP62" s="776"/>
      <c r="FQ62" s="776"/>
      <c r="FR62" s="776"/>
      <c r="FS62" s="776"/>
      <c r="FT62" s="776"/>
      <c r="FU62" s="776"/>
      <c r="FV62" s="776"/>
      <c r="FW62" s="776"/>
      <c r="FX62" s="776"/>
      <c r="FY62" s="776"/>
      <c r="FZ62" s="776"/>
      <c r="GA62" s="776"/>
      <c r="GB62" s="776"/>
      <c r="GC62" s="776"/>
      <c r="GD62" s="776"/>
      <c r="GE62" s="776"/>
      <c r="GF62" s="776"/>
      <c r="GG62" s="776"/>
      <c r="GH62" s="776"/>
      <c r="GI62" s="776"/>
      <c r="GJ62" s="776"/>
      <c r="GK62" s="776"/>
      <c r="GL62" s="776"/>
      <c r="GM62" s="776"/>
      <c r="GN62" s="776"/>
      <c r="GO62" s="776"/>
      <c r="GP62" s="776"/>
      <c r="GQ62" s="776"/>
      <c r="GR62" s="776"/>
    </row>
    <row r="63" spans="1:200" s="208" customFormat="1" ht="15" customHeight="1">
      <c r="A63" s="772"/>
      <c r="B63" s="447"/>
      <c r="C63" s="455"/>
      <c r="D63" s="447"/>
      <c r="E63" s="852"/>
      <c r="F63" s="852"/>
      <c r="G63" s="214"/>
      <c r="H63" s="399"/>
      <c r="I63" s="779"/>
      <c r="J63" s="779"/>
      <c r="K63" s="770"/>
      <c r="L63" s="772"/>
      <c r="M63" s="780"/>
      <c r="N63" s="770"/>
      <c r="O63" s="793"/>
      <c r="P63" s="408"/>
      <c r="Q63" s="447"/>
      <c r="R63" s="447"/>
      <c r="S63" s="447"/>
      <c r="T63" s="772"/>
      <c r="U63" s="853"/>
      <c r="V63" s="779"/>
      <c r="W63" s="779"/>
      <c r="X63" s="770"/>
      <c r="Y63" s="772"/>
      <c r="Z63" s="780"/>
      <c r="AA63" s="770"/>
      <c r="AB63" s="783"/>
      <c r="AC63" s="408"/>
      <c r="AD63" s="447"/>
      <c r="AE63" s="447"/>
      <c r="AF63" s="447"/>
      <c r="AG63" s="772"/>
      <c r="AH63" s="853"/>
      <c r="AI63" s="779"/>
      <c r="AJ63" s="779"/>
      <c r="AK63" s="770"/>
      <c r="AL63" s="772"/>
      <c r="AM63" s="780"/>
      <c r="AN63" s="770"/>
      <c r="AO63" s="784"/>
      <c r="AP63" s="408"/>
      <c r="AQ63" s="447"/>
      <c r="AR63" s="853"/>
      <c r="AS63" s="853"/>
      <c r="AT63" s="785"/>
      <c r="AU63" s="853"/>
      <c r="AV63" s="818"/>
      <c r="AW63" s="779"/>
      <c r="AX63" s="770"/>
      <c r="AY63" s="772"/>
      <c r="AZ63" s="780"/>
      <c r="BA63" s="770"/>
      <c r="BB63" s="786"/>
      <c r="BC63" s="408"/>
      <c r="BD63" s="447"/>
      <c r="BE63" s="853"/>
      <c r="BF63" s="853"/>
      <c r="BG63" s="785"/>
      <c r="BH63" s="853"/>
      <c r="BI63" s="818"/>
      <c r="BJ63" s="779"/>
      <c r="BK63" s="770"/>
      <c r="BL63" s="772"/>
      <c r="BM63" s="780"/>
      <c r="BN63" s="770"/>
      <c r="BO63" s="787"/>
      <c r="BP63" s="408"/>
      <c r="BQ63" s="447"/>
      <c r="BR63" s="853"/>
      <c r="BS63" s="853"/>
      <c r="BT63" s="785"/>
      <c r="BU63" s="853"/>
      <c r="BV63" s="818"/>
      <c r="BW63" s="779"/>
      <c r="BX63" s="770"/>
      <c r="BY63" s="772"/>
      <c r="BZ63" s="780"/>
      <c r="CA63" s="770"/>
      <c r="CB63" s="794"/>
      <c r="CC63" s="408"/>
      <c r="CD63" s="853"/>
      <c r="CE63" s="853"/>
      <c r="CF63" s="853"/>
      <c r="CG63" s="785"/>
      <c r="CH63" s="853"/>
      <c r="CI63" s="818"/>
      <c r="CJ63" s="779"/>
      <c r="CK63" s="781"/>
      <c r="CL63" s="785"/>
      <c r="CM63" s="777"/>
      <c r="CN63" s="781"/>
      <c r="CO63" s="789"/>
      <c r="CP63" s="408"/>
      <c r="CQ63" s="853"/>
      <c r="CR63" s="853"/>
      <c r="CS63" s="853"/>
      <c r="CT63" s="785"/>
      <c r="CU63" s="853"/>
      <c r="CV63" s="818"/>
      <c r="CW63" s="779"/>
      <c r="CX63" s="781"/>
      <c r="CY63" s="785"/>
      <c r="CZ63" s="777"/>
      <c r="DA63" s="770"/>
      <c r="DB63" s="790"/>
      <c r="DC63" s="408"/>
      <c r="DD63" s="853"/>
      <c r="DE63" s="853"/>
      <c r="DF63" s="853"/>
      <c r="DG63" s="785"/>
      <c r="DH63" s="853"/>
      <c r="DI63" s="818"/>
      <c r="DJ63" s="779"/>
      <c r="DK63" s="781"/>
      <c r="DL63" s="785"/>
      <c r="DM63" s="777"/>
      <c r="DN63" s="770"/>
      <c r="DO63" s="791"/>
      <c r="DP63" s="408"/>
      <c r="DQ63" s="853"/>
      <c r="DR63" s="853"/>
      <c r="DS63" s="853"/>
      <c r="DT63" s="785"/>
      <c r="DU63" s="853"/>
      <c r="DV63" s="818"/>
      <c r="DW63" s="779"/>
      <c r="DX63" s="781"/>
      <c r="DY63" s="785"/>
      <c r="DZ63" s="777"/>
      <c r="EA63" s="770"/>
      <c r="EB63" s="429"/>
      <c r="EC63" s="408"/>
      <c r="ED63" s="853"/>
      <c r="EE63" s="853"/>
      <c r="EF63" s="853"/>
      <c r="EG63" s="772"/>
      <c r="EH63" s="853"/>
      <c r="EI63" s="818"/>
      <c r="EJ63" s="779"/>
      <c r="EK63" s="781"/>
      <c r="EL63" s="785"/>
      <c r="EM63" s="777"/>
      <c r="EN63" s="770"/>
      <c r="EO63" s="792"/>
      <c r="EP63" s="408"/>
      <c r="EQ63" s="447"/>
      <c r="ER63" s="853"/>
      <c r="ES63" s="853"/>
      <c r="ET63" s="785"/>
      <c r="EU63" s="853"/>
      <c r="EV63" s="818"/>
      <c r="EW63" s="779"/>
      <c r="EX63" s="781"/>
      <c r="EY63" s="785"/>
      <c r="EZ63" s="777"/>
      <c r="FA63" s="776"/>
      <c r="FB63" s="776"/>
      <c r="FC63" s="776"/>
      <c r="FD63" s="776"/>
      <c r="FE63" s="776"/>
      <c r="FF63" s="776"/>
      <c r="FG63" s="776"/>
      <c r="FH63" s="776"/>
      <c r="FI63" s="776"/>
      <c r="FJ63" s="776"/>
      <c r="FK63" s="776"/>
      <c r="FL63" s="776"/>
      <c r="FM63" s="776"/>
      <c r="FN63" s="776"/>
      <c r="FO63" s="776"/>
      <c r="FP63" s="776"/>
      <c r="FQ63" s="776"/>
      <c r="FR63" s="776"/>
      <c r="FS63" s="776"/>
      <c r="FT63" s="776"/>
      <c r="FU63" s="776"/>
      <c r="FV63" s="776"/>
      <c r="FW63" s="776"/>
      <c r="FX63" s="776"/>
      <c r="FY63" s="776"/>
      <c r="FZ63" s="776"/>
      <c r="GA63" s="776"/>
      <c r="GB63" s="776"/>
      <c r="GC63" s="776"/>
      <c r="GD63" s="776"/>
      <c r="GE63" s="776"/>
      <c r="GF63" s="776"/>
      <c r="GG63" s="776"/>
      <c r="GH63" s="776"/>
      <c r="GI63" s="776"/>
      <c r="GJ63" s="776"/>
      <c r="GK63" s="776"/>
      <c r="GL63" s="776"/>
      <c r="GM63" s="776"/>
      <c r="GN63" s="776"/>
      <c r="GO63" s="776"/>
      <c r="GP63" s="776"/>
      <c r="GQ63" s="776"/>
      <c r="GR63" s="776"/>
    </row>
    <row r="64" spans="1:200" s="208" customFormat="1" ht="15" customHeight="1">
      <c r="A64" s="785"/>
      <c r="B64" s="447"/>
      <c r="C64" s="455" t="s">
        <v>48</v>
      </c>
      <c r="D64" s="447">
        <f>D10</f>
        <v>46004</v>
      </c>
      <c r="E64" s="852">
        <f>E10</f>
        <v>44695.830999999991</v>
      </c>
      <c r="F64" s="852">
        <f>F10</f>
        <v>310.26638000000008</v>
      </c>
      <c r="G64" s="214">
        <f>G10</f>
        <v>1414.916666666667</v>
      </c>
      <c r="H64" s="399">
        <f>+E64+F64-G64</f>
        <v>43591.180713333328</v>
      </c>
      <c r="I64" s="779">
        <f>IF(E64=0,"-",H64/E64)</f>
        <v>0.97528516056303638</v>
      </c>
      <c r="J64" s="779">
        <f>IF(ISERROR(G64/E64),"",G64/E64)</f>
        <v>3.1656569192474962E-2</v>
      </c>
      <c r="K64" s="770">
        <f>D64-E64</f>
        <v>1308.169000000009</v>
      </c>
      <c r="L64" s="772">
        <f>E64-H64</f>
        <v>1104.6502866666633</v>
      </c>
      <c r="M64" s="780">
        <f>D64-H64</f>
        <v>2412.8192866666723</v>
      </c>
      <c r="N64" s="781"/>
      <c r="O64" s="793"/>
      <c r="P64" s="408" t="s">
        <v>48</v>
      </c>
      <c r="Q64" s="447">
        <f>Q10+D64</f>
        <v>92151</v>
      </c>
      <c r="R64" s="447">
        <f>R10+E64</f>
        <v>90421.180999999982</v>
      </c>
      <c r="S64" s="447">
        <f>S10+F64</f>
        <v>764.08308</v>
      </c>
      <c r="T64" s="772">
        <f>T10+G64</f>
        <v>2513.25</v>
      </c>
      <c r="U64" s="853">
        <f>+R64+S64-T64</f>
        <v>88672.014079999979</v>
      </c>
      <c r="V64" s="779">
        <f>IF(R64=0,"-",U64/R64)</f>
        <v>0.98065534092061901</v>
      </c>
      <c r="W64" s="779">
        <f t="shared" si="288"/>
        <v>2.7794925615935058E-2</v>
      </c>
      <c r="X64" s="770">
        <f t="shared" si="289"/>
        <v>1729.8190000000177</v>
      </c>
      <c r="Y64" s="772">
        <f t="shared" si="290"/>
        <v>1749.1669200000033</v>
      </c>
      <c r="Z64" s="780">
        <f t="shared" si="291"/>
        <v>3478.985920000021</v>
      </c>
      <c r="AA64" s="781"/>
      <c r="AB64" s="783"/>
      <c r="AC64" s="408" t="s">
        <v>48</v>
      </c>
      <c r="AD64" s="447">
        <f>AD10+Q64</f>
        <v>135758</v>
      </c>
      <c r="AE64" s="447">
        <f>AE10+R64</f>
        <v>133627.17799999999</v>
      </c>
      <c r="AF64" s="447">
        <f>AF10+S64</f>
        <v>1250.6164899999999</v>
      </c>
      <c r="AG64" s="772">
        <f>AG10+T64</f>
        <v>3582.6166666666668</v>
      </c>
      <c r="AH64" s="853">
        <f>+AE64+AF64-AG64</f>
        <v>131295.1778233333</v>
      </c>
      <c r="AI64" s="779">
        <f>IF(AE64=0,"-",AH64/AE64)</f>
        <v>0.98254845899187748</v>
      </c>
      <c r="AJ64" s="779">
        <f t="shared" si="292"/>
        <v>2.6810538995792211E-2</v>
      </c>
      <c r="AK64" s="770">
        <f>AD64-AE64</f>
        <v>2130.8220000000147</v>
      </c>
      <c r="AL64" s="772">
        <f>AE64-AH64</f>
        <v>2332.0001766666828</v>
      </c>
      <c r="AM64" s="780">
        <f>AD64-AH64</f>
        <v>4462.8221766666975</v>
      </c>
      <c r="AN64" s="781"/>
      <c r="AO64" s="784"/>
      <c r="AP64" s="408" t="s">
        <v>48</v>
      </c>
      <c r="AQ64" s="447">
        <f>AQ10+AD64</f>
        <v>181040</v>
      </c>
      <c r="AR64" s="853">
        <f>AR10+AE64</f>
        <v>180111.601</v>
      </c>
      <c r="AS64" s="853">
        <f>AS10+AF64</f>
        <v>1800.1665599999999</v>
      </c>
      <c r="AT64" s="785">
        <f>AT10+AG64</f>
        <v>4657.6667666666672</v>
      </c>
      <c r="AU64" s="853">
        <f>+AR64+AS64-AT64</f>
        <v>177254.10079333335</v>
      </c>
      <c r="AV64" s="818">
        <f>IF(AR64=0,"-",AU64/AR64)</f>
        <v>0.98413483534207968</v>
      </c>
      <c r="AW64" s="779">
        <f t="shared" si="293"/>
        <v>2.5859893204028914E-2</v>
      </c>
      <c r="AX64" s="770">
        <f>AQ64-AR64</f>
        <v>928.39900000000489</v>
      </c>
      <c r="AY64" s="772">
        <f>AR64-AU64</f>
        <v>2857.5002066666493</v>
      </c>
      <c r="AZ64" s="780">
        <f>AQ64-AU64</f>
        <v>3785.8992066666542</v>
      </c>
      <c r="BA64" s="781"/>
      <c r="BB64" s="786"/>
      <c r="BC64" s="408" t="s">
        <v>48</v>
      </c>
      <c r="BD64" s="447">
        <f>BD10+AQ64</f>
        <v>224790</v>
      </c>
      <c r="BE64" s="853">
        <f>BE10+AR64</f>
        <v>180111.601</v>
      </c>
      <c r="BF64" s="853">
        <f>BF10+AS64</f>
        <v>1800.1665599999999</v>
      </c>
      <c r="BG64" s="785">
        <f>BG10+AT64</f>
        <v>4657.6667666666672</v>
      </c>
      <c r="BH64" s="853">
        <f>+BE64+BF64-BG64</f>
        <v>177254.10079333335</v>
      </c>
      <c r="BI64" s="818">
        <f t="shared" si="294"/>
        <v>0.98413483534207968</v>
      </c>
      <c r="BJ64" s="779">
        <f t="shared" si="295"/>
        <v>2.5859893204028914E-2</v>
      </c>
      <c r="BK64" s="770">
        <f>BD64-BE64</f>
        <v>44678.399000000005</v>
      </c>
      <c r="BL64" s="772">
        <f>BE64-BH64</f>
        <v>2857.5002066666493</v>
      </c>
      <c r="BM64" s="780">
        <f>BD64-BH64</f>
        <v>47535.899206666654</v>
      </c>
      <c r="BN64" s="781"/>
      <c r="BO64" s="787"/>
      <c r="BP64" s="408" t="s">
        <v>48</v>
      </c>
      <c r="BQ64" s="447">
        <f>BQ10+BD64</f>
        <v>270072</v>
      </c>
      <c r="BR64" s="853">
        <f>BR10+BE64</f>
        <v>180111.601</v>
      </c>
      <c r="BS64" s="853">
        <f>BS10+BF64</f>
        <v>1800.1665599999999</v>
      </c>
      <c r="BT64" s="785">
        <f>BT10+BG64</f>
        <v>4657.6667666666672</v>
      </c>
      <c r="BU64" s="853">
        <f>+BR64+BS64-BT64</f>
        <v>177254.10079333335</v>
      </c>
      <c r="BV64" s="818">
        <f t="shared" si="296"/>
        <v>0.98413483534207968</v>
      </c>
      <c r="BW64" s="779">
        <f t="shared" si="297"/>
        <v>2.5859893204028914E-2</v>
      </c>
      <c r="BX64" s="770">
        <f>BQ64-BR64</f>
        <v>89960.399000000005</v>
      </c>
      <c r="BY64" s="772">
        <f>BR64-BU64</f>
        <v>2857.5002066666493</v>
      </c>
      <c r="BZ64" s="780">
        <f>BQ64-BU64</f>
        <v>92817.899206666654</v>
      </c>
      <c r="CA64" s="781"/>
      <c r="CB64" s="794"/>
      <c r="CC64" s="408" t="s">
        <v>48</v>
      </c>
      <c r="CD64" s="853">
        <f>CD10+BQ64</f>
        <v>315354</v>
      </c>
      <c r="CE64" s="853">
        <f>CE10+BR64</f>
        <v>180111.601</v>
      </c>
      <c r="CF64" s="853">
        <f>CF10+BS64</f>
        <v>1800.1665599999999</v>
      </c>
      <c r="CG64" s="785">
        <f>CG10+BT64</f>
        <v>4657.6667666666672</v>
      </c>
      <c r="CH64" s="853">
        <f>+CE64+CF64-CG64</f>
        <v>177254.10079333335</v>
      </c>
      <c r="CI64" s="818">
        <f t="shared" si="298"/>
        <v>0.98413483534207968</v>
      </c>
      <c r="CJ64" s="779">
        <f t="shared" si="299"/>
        <v>2.5859893204028914E-2</v>
      </c>
      <c r="CK64" s="781">
        <f>CD64-CE64</f>
        <v>135242.399</v>
      </c>
      <c r="CL64" s="785">
        <f>CE64-CH64</f>
        <v>2857.5002066666493</v>
      </c>
      <c r="CM64" s="777">
        <f>CD64-CH64</f>
        <v>138099.89920666665</v>
      </c>
      <c r="CN64" s="770"/>
      <c r="CO64" s="789"/>
      <c r="CP64" s="408" t="s">
        <v>48</v>
      </c>
      <c r="CQ64" s="853">
        <f>CQ10+CD64</f>
        <v>358150</v>
      </c>
      <c r="CR64" s="853">
        <f>CR10+CE64</f>
        <v>180111.601</v>
      </c>
      <c r="CS64" s="853">
        <f>CS10+CF64</f>
        <v>1800.1665599999999</v>
      </c>
      <c r="CT64" s="785">
        <f>CT10+CG64</f>
        <v>4657.6667666666672</v>
      </c>
      <c r="CU64" s="853">
        <f>+CR64+CS64-CT64</f>
        <v>177254.10079333335</v>
      </c>
      <c r="CV64" s="818">
        <f t="shared" si="300"/>
        <v>0.98413483534207968</v>
      </c>
      <c r="CW64" s="779">
        <f t="shared" si="301"/>
        <v>2.5859893204028914E-2</v>
      </c>
      <c r="CX64" s="781">
        <f>CQ64-CR64</f>
        <v>178038.399</v>
      </c>
      <c r="CY64" s="785">
        <f>CR64-CU64</f>
        <v>2857.5002066666493</v>
      </c>
      <c r="CZ64" s="777">
        <f>CQ64-CU64</f>
        <v>180895.89920666665</v>
      </c>
      <c r="DA64" s="781"/>
      <c r="DB64" s="790"/>
      <c r="DC64" s="408" t="s">
        <v>48</v>
      </c>
      <c r="DD64" s="853">
        <f>DD10+CQ64</f>
        <v>404154</v>
      </c>
      <c r="DE64" s="853">
        <f>DE10+CR64</f>
        <v>180111.601</v>
      </c>
      <c r="DF64" s="853">
        <f>DF10+CS64</f>
        <v>1800.1665599999999</v>
      </c>
      <c r="DG64" s="785">
        <f>DG10+CT64</f>
        <v>4657.6667666666672</v>
      </c>
      <c r="DH64" s="853">
        <f>+DE64+DF64-DG64</f>
        <v>177254.10079333335</v>
      </c>
      <c r="DI64" s="818">
        <f t="shared" si="302"/>
        <v>0.98413483534207968</v>
      </c>
      <c r="DJ64" s="779">
        <f t="shared" si="303"/>
        <v>2.5859893204028914E-2</v>
      </c>
      <c r="DK64" s="781">
        <f>DD64-DE64</f>
        <v>224042.399</v>
      </c>
      <c r="DL64" s="785">
        <f>DE64-DH64</f>
        <v>2857.5002066666493</v>
      </c>
      <c r="DM64" s="777">
        <f>DD64-DH64</f>
        <v>226899.89920666665</v>
      </c>
      <c r="DN64" s="781"/>
      <c r="DO64" s="791"/>
      <c r="DP64" s="408" t="s">
        <v>48</v>
      </c>
      <c r="DQ64" s="853">
        <f>DQ10+DD64</f>
        <v>449205</v>
      </c>
      <c r="DR64" s="853">
        <f>DR10+DE64</f>
        <v>180111.601</v>
      </c>
      <c r="DS64" s="853">
        <f>DS10+DF64</f>
        <v>1800.1665599999999</v>
      </c>
      <c r="DT64" s="785">
        <f>DT10+DG64</f>
        <v>4657.6667666666672</v>
      </c>
      <c r="DU64" s="853">
        <f>+DR64+DS64-DT64</f>
        <v>177254.10079333335</v>
      </c>
      <c r="DV64" s="818">
        <f t="shared" si="304"/>
        <v>0.98413483534207968</v>
      </c>
      <c r="DW64" s="779">
        <f t="shared" si="305"/>
        <v>2.5859893204028914E-2</v>
      </c>
      <c r="DX64" s="781">
        <f>DQ64-DR64</f>
        <v>269093.39899999998</v>
      </c>
      <c r="DY64" s="785">
        <f>DR64-DU64</f>
        <v>2857.5002066666493</v>
      </c>
      <c r="DZ64" s="777">
        <f>DQ64-DU64</f>
        <v>271950.89920666663</v>
      </c>
      <c r="EA64" s="781"/>
      <c r="EB64" s="429"/>
      <c r="EC64" s="408" t="s">
        <v>48</v>
      </c>
      <c r="ED64" s="853">
        <f>ED10+DQ64</f>
        <v>493908</v>
      </c>
      <c r="EE64" s="853">
        <f>EE10+DR64</f>
        <v>180111.601</v>
      </c>
      <c r="EF64" s="853">
        <f>EF10+DS64</f>
        <v>1800.1665599999999</v>
      </c>
      <c r="EG64" s="772">
        <f>EG10+DT64</f>
        <v>4657.6667666666672</v>
      </c>
      <c r="EH64" s="853">
        <f>+EE64+EF64-EG64</f>
        <v>177254.10079333335</v>
      </c>
      <c r="EI64" s="818">
        <f t="shared" si="306"/>
        <v>0.98413483534207968</v>
      </c>
      <c r="EJ64" s="779">
        <f t="shared" si="307"/>
        <v>2.5859893204028914E-2</v>
      </c>
      <c r="EK64" s="781">
        <f>ED64-EE64</f>
        <v>313796.39899999998</v>
      </c>
      <c r="EL64" s="785">
        <f>EE64-EH64</f>
        <v>2857.5002066666493</v>
      </c>
      <c r="EM64" s="777">
        <f>ED64-EH64</f>
        <v>316653.89920666663</v>
      </c>
      <c r="EN64" s="781"/>
      <c r="EO64" s="792"/>
      <c r="EP64" s="408" t="s">
        <v>48</v>
      </c>
      <c r="EQ64" s="447">
        <f>EQ10+ED64</f>
        <v>538959</v>
      </c>
      <c r="ER64" s="853">
        <f>ER10+EE64</f>
        <v>180111.601</v>
      </c>
      <c r="ES64" s="853">
        <f>ES10+EF64</f>
        <v>1800.1665599999999</v>
      </c>
      <c r="ET64" s="785">
        <f>ET10+EG64</f>
        <v>4657.6667666666672</v>
      </c>
      <c r="EU64" s="853">
        <f>+ER64+ES64-ET64</f>
        <v>177254.10079333335</v>
      </c>
      <c r="EV64" s="818">
        <f t="shared" si="308"/>
        <v>0.98413483534207968</v>
      </c>
      <c r="EW64" s="779">
        <f t="shared" si="309"/>
        <v>2.5859893204028914E-2</v>
      </c>
      <c r="EX64" s="781">
        <f>EQ64-ER64</f>
        <v>358847.39899999998</v>
      </c>
      <c r="EY64" s="785">
        <f>ER64-EU64</f>
        <v>2857.5002066666493</v>
      </c>
      <c r="EZ64" s="777">
        <f>EQ64-EU64</f>
        <v>361704.89920666663</v>
      </c>
      <c r="FA64" s="776"/>
      <c r="FB64" s="776"/>
      <c r="FC64" s="776"/>
      <c r="FD64" s="776"/>
      <c r="FE64" s="776"/>
      <c r="FF64" s="776"/>
      <c r="FG64" s="776"/>
      <c r="FH64" s="776"/>
      <c r="FI64" s="776"/>
      <c r="FJ64" s="776"/>
      <c r="FK64" s="776"/>
      <c r="FL64" s="776"/>
      <c r="FM64" s="776"/>
      <c r="FN64" s="776"/>
      <c r="FO64" s="776"/>
      <c r="FP64" s="776"/>
      <c r="FQ64" s="776"/>
      <c r="FR64" s="776"/>
      <c r="FS64" s="776"/>
      <c r="FT64" s="776"/>
      <c r="FU64" s="776"/>
      <c r="FV64" s="776"/>
      <c r="FW64" s="776"/>
      <c r="FX64" s="776"/>
      <c r="FY64" s="776"/>
      <c r="FZ64" s="776"/>
      <c r="GA64" s="776"/>
      <c r="GB64" s="776"/>
      <c r="GC64" s="776"/>
      <c r="GD64" s="776"/>
      <c r="GE64" s="776"/>
      <c r="GF64" s="776"/>
      <c r="GG64" s="776"/>
      <c r="GH64" s="776"/>
      <c r="GI64" s="776"/>
      <c r="GJ64" s="776"/>
      <c r="GK64" s="776"/>
      <c r="GL64" s="776"/>
      <c r="GM64" s="776"/>
      <c r="GN64" s="776"/>
      <c r="GO64" s="776"/>
      <c r="GP64" s="776"/>
      <c r="GQ64" s="776"/>
      <c r="GR64" s="776"/>
    </row>
    <row r="65" spans="1:165" s="208" customFormat="1" ht="15" customHeight="1">
      <c r="A65" s="785"/>
      <c r="B65" s="447"/>
      <c r="C65" s="455"/>
      <c r="D65" s="447"/>
      <c r="E65" s="852"/>
      <c r="F65" s="852"/>
      <c r="G65" s="214"/>
      <c r="H65" s="399"/>
      <c r="I65" s="779"/>
      <c r="J65" s="779"/>
      <c r="K65" s="770"/>
      <c r="L65" s="772"/>
      <c r="M65" s="780"/>
      <c r="N65" s="781"/>
      <c r="O65" s="793"/>
      <c r="P65" s="408"/>
      <c r="Q65" s="447"/>
      <c r="R65" s="447"/>
      <c r="S65" s="447"/>
      <c r="T65" s="772"/>
      <c r="U65" s="853"/>
      <c r="V65" s="779"/>
      <c r="W65" s="779"/>
      <c r="X65" s="770"/>
      <c r="Y65" s="772"/>
      <c r="Z65" s="780"/>
      <c r="AA65" s="781"/>
      <c r="AB65" s="783"/>
      <c r="AC65" s="408"/>
      <c r="AD65" s="447"/>
      <c r="AE65" s="447"/>
      <c r="AF65" s="447"/>
      <c r="AG65" s="772"/>
      <c r="AH65" s="853"/>
      <c r="AI65" s="779"/>
      <c r="AJ65" s="779"/>
      <c r="AK65" s="770"/>
      <c r="AL65" s="772"/>
      <c r="AM65" s="780"/>
      <c r="AN65" s="781"/>
      <c r="AO65" s="784"/>
      <c r="AP65" s="408"/>
      <c r="AQ65" s="447"/>
      <c r="AR65" s="853"/>
      <c r="AS65" s="853"/>
      <c r="AT65" s="785"/>
      <c r="AU65" s="853"/>
      <c r="AV65" s="818"/>
      <c r="AW65" s="779"/>
      <c r="AX65" s="770"/>
      <c r="AY65" s="772"/>
      <c r="AZ65" s="780"/>
      <c r="BA65" s="781"/>
      <c r="BB65" s="786"/>
      <c r="BC65" s="408"/>
      <c r="BD65" s="447"/>
      <c r="BE65" s="853"/>
      <c r="BF65" s="853"/>
      <c r="BG65" s="785"/>
      <c r="BH65" s="853"/>
      <c r="BI65" s="818"/>
      <c r="BJ65" s="779"/>
      <c r="BK65" s="770"/>
      <c r="BL65" s="772"/>
      <c r="BM65" s="780"/>
      <c r="BN65" s="781"/>
      <c r="BO65" s="787"/>
      <c r="BP65" s="408"/>
      <c r="BQ65" s="447"/>
      <c r="BR65" s="853"/>
      <c r="BS65" s="853"/>
      <c r="BT65" s="785"/>
      <c r="BU65" s="853"/>
      <c r="BV65" s="818"/>
      <c r="BW65" s="779"/>
      <c r="BX65" s="770"/>
      <c r="BY65" s="772"/>
      <c r="BZ65" s="780"/>
      <c r="CA65" s="781"/>
      <c r="CB65" s="794"/>
      <c r="CC65" s="408"/>
      <c r="CD65" s="853"/>
      <c r="CE65" s="853"/>
      <c r="CF65" s="853"/>
      <c r="CG65" s="785"/>
      <c r="CH65" s="853"/>
      <c r="CI65" s="818"/>
      <c r="CJ65" s="779"/>
      <c r="CK65" s="781"/>
      <c r="CL65" s="785"/>
      <c r="CM65" s="777"/>
      <c r="CN65" s="770"/>
      <c r="CO65" s="789"/>
      <c r="CP65" s="408"/>
      <c r="CQ65" s="853"/>
      <c r="CR65" s="853"/>
      <c r="CS65" s="853"/>
      <c r="CT65" s="785"/>
      <c r="CU65" s="853"/>
      <c r="CV65" s="818"/>
      <c r="CW65" s="779"/>
      <c r="CX65" s="781"/>
      <c r="CY65" s="785"/>
      <c r="CZ65" s="777"/>
      <c r="DA65" s="781"/>
      <c r="DB65" s="790"/>
      <c r="DC65" s="408"/>
      <c r="DD65" s="853"/>
      <c r="DE65" s="853"/>
      <c r="DF65" s="853"/>
      <c r="DG65" s="785"/>
      <c r="DH65" s="853"/>
      <c r="DI65" s="818"/>
      <c r="DJ65" s="779"/>
      <c r="DK65" s="781"/>
      <c r="DL65" s="785"/>
      <c r="DM65" s="777"/>
      <c r="DN65" s="781"/>
      <c r="DO65" s="791"/>
      <c r="DP65" s="408"/>
      <c r="DQ65" s="853"/>
      <c r="DR65" s="853"/>
      <c r="DS65" s="853"/>
      <c r="DT65" s="785"/>
      <c r="DU65" s="853"/>
      <c r="DV65" s="818"/>
      <c r="DW65" s="779"/>
      <c r="DX65" s="781"/>
      <c r="DY65" s="785"/>
      <c r="DZ65" s="777"/>
      <c r="EA65" s="781"/>
      <c r="EB65" s="429"/>
      <c r="EC65" s="408"/>
      <c r="ED65" s="853"/>
      <c r="EE65" s="853"/>
      <c r="EF65" s="853"/>
      <c r="EG65" s="772"/>
      <c r="EH65" s="853"/>
      <c r="EI65" s="818"/>
      <c r="EJ65" s="779"/>
      <c r="EK65" s="781"/>
      <c r="EL65" s="785"/>
      <c r="EM65" s="777"/>
      <c r="EN65" s="781"/>
      <c r="EO65" s="792"/>
      <c r="EP65" s="408"/>
      <c r="EQ65" s="447"/>
      <c r="ER65" s="853"/>
      <c r="ES65" s="853"/>
      <c r="ET65" s="785"/>
      <c r="EU65" s="853"/>
      <c r="EV65" s="818"/>
      <c r="EW65" s="779"/>
      <c r="EX65" s="781"/>
      <c r="EY65" s="785"/>
      <c r="EZ65" s="777"/>
      <c r="FA65" s="776"/>
      <c r="FB65" s="776"/>
      <c r="FC65" s="776"/>
      <c r="FD65" s="776"/>
      <c r="FE65" s="776"/>
      <c r="FF65" s="776"/>
      <c r="FG65" s="776"/>
      <c r="FH65" s="776"/>
      <c r="FI65" s="776"/>
    </row>
    <row r="66" spans="1:165" s="208" customFormat="1" ht="15" customHeight="1">
      <c r="A66" s="772"/>
      <c r="B66" s="447"/>
      <c r="C66" s="455" t="s">
        <v>49</v>
      </c>
      <c r="D66" s="447">
        <f>D12</f>
        <v>46884</v>
      </c>
      <c r="E66" s="852">
        <f>E12</f>
        <v>47273.837999999996</v>
      </c>
      <c r="F66" s="852">
        <f>F12</f>
        <v>498.34996999999998</v>
      </c>
      <c r="G66" s="214">
        <f>G12</f>
        <v>867.53333333333342</v>
      </c>
      <c r="H66" s="399">
        <f>+E66+F66-G66</f>
        <v>46904.654636666666</v>
      </c>
      <c r="I66" s="779">
        <f>IF(E66=0,"-",H66/E66)</f>
        <v>0.99219053542186841</v>
      </c>
      <c r="J66" s="779">
        <f>IF(ISERROR(G66/E66),"",G66/E66)</f>
        <v>1.835123548321449E-2</v>
      </c>
      <c r="K66" s="770">
        <f>D66-E66</f>
        <v>-389.8379999999961</v>
      </c>
      <c r="L66" s="772">
        <f>E66-H66</f>
        <v>369.18336333332991</v>
      </c>
      <c r="M66" s="780">
        <f>D66-H66</f>
        <v>-20.654636666666192</v>
      </c>
      <c r="N66" s="770"/>
      <c r="O66" s="793"/>
      <c r="P66" s="408" t="s">
        <v>49</v>
      </c>
      <c r="Q66" s="447">
        <f>Q12+D66</f>
        <v>94065</v>
      </c>
      <c r="R66" s="447">
        <f>R12+E66</f>
        <v>95092.365000000005</v>
      </c>
      <c r="S66" s="447">
        <f>S12+F66</f>
        <v>1174.0833400000001</v>
      </c>
      <c r="T66" s="772">
        <f>T12+G66</f>
        <v>1891.9500000000003</v>
      </c>
      <c r="U66" s="853">
        <f>+R66+S66-T66</f>
        <v>94374.498340000006</v>
      </c>
      <c r="V66" s="779">
        <f>IF(R66=0,"-",U66/R66)</f>
        <v>0.99245084860388111</v>
      </c>
      <c r="W66" s="779">
        <f t="shared" si="288"/>
        <v>1.9895919088772272E-2</v>
      </c>
      <c r="X66" s="770">
        <f t="shared" si="289"/>
        <v>-1027.3650000000052</v>
      </c>
      <c r="Y66" s="772">
        <f t="shared" si="290"/>
        <v>717.86665999999968</v>
      </c>
      <c r="Z66" s="780">
        <f t="shared" si="291"/>
        <v>-309.49834000000556</v>
      </c>
      <c r="AA66" s="770"/>
      <c r="AB66" s="783"/>
      <c r="AC66" s="408" t="s">
        <v>49</v>
      </c>
      <c r="AD66" s="447">
        <f>AD12+Q66</f>
        <v>138343</v>
      </c>
      <c r="AE66" s="447">
        <f>AE12+R66</f>
        <v>139699.212</v>
      </c>
      <c r="AF66" s="447">
        <f>AF12+S66</f>
        <v>2087.2832400000002</v>
      </c>
      <c r="AG66" s="772">
        <f>AG12+T66</f>
        <v>3005.25</v>
      </c>
      <c r="AH66" s="853">
        <f>+AE66+AF66-AG66</f>
        <v>138781.24523999999</v>
      </c>
      <c r="AI66" s="779">
        <f>IF(AE66=0,"-",AH66/AE66)</f>
        <v>0.99342897682200237</v>
      </c>
      <c r="AJ66" s="779">
        <f t="shared" si="292"/>
        <v>2.1512290276912944E-2</v>
      </c>
      <c r="AK66" s="770">
        <f>AD66-AE66</f>
        <v>-1356.2119999999995</v>
      </c>
      <c r="AL66" s="772">
        <f>AE66-AH66</f>
        <v>917.96676000001025</v>
      </c>
      <c r="AM66" s="780">
        <f>AD66-AH66</f>
        <v>-438.24523999998928</v>
      </c>
      <c r="AN66" s="770"/>
      <c r="AO66" s="784"/>
      <c r="AP66" s="408" t="s">
        <v>49</v>
      </c>
      <c r="AQ66" s="447">
        <f>AQ12+AD66</f>
        <v>184349</v>
      </c>
      <c r="AR66" s="853">
        <f>AR12+AE66</f>
        <v>187300.15899999999</v>
      </c>
      <c r="AS66" s="853">
        <f>AS12+AF66</f>
        <v>3077.45021</v>
      </c>
      <c r="AT66" s="785">
        <f>AT12+AG66</f>
        <v>4042.3663999999999</v>
      </c>
      <c r="AU66" s="853">
        <f>+AR66+AS66-AT66</f>
        <v>186335.24281</v>
      </c>
      <c r="AV66" s="818">
        <f>IF(AR66=0,"-",AU66/AR66)</f>
        <v>0.99484828953081672</v>
      </c>
      <c r="AW66" s="779">
        <f t="shared" si="293"/>
        <v>2.1582290274510661E-2</v>
      </c>
      <c r="AX66" s="770">
        <f>AQ66-AR66</f>
        <v>-2951.1589999999851</v>
      </c>
      <c r="AY66" s="772">
        <f>AR66-AU66</f>
        <v>964.916189999989</v>
      </c>
      <c r="AZ66" s="780">
        <f>AQ66-AU66</f>
        <v>-1986.2428099999961</v>
      </c>
      <c r="BA66" s="770"/>
      <c r="BB66" s="786"/>
      <c r="BC66" s="408" t="s">
        <v>49</v>
      </c>
      <c r="BD66" s="447">
        <f>BD12+AQ66</f>
        <v>228924</v>
      </c>
      <c r="BE66" s="853">
        <f>BE12+AR66</f>
        <v>187300.15899999999</v>
      </c>
      <c r="BF66" s="853">
        <f>BF12+AS66</f>
        <v>3077.45021</v>
      </c>
      <c r="BG66" s="785">
        <f>BG12+AT66</f>
        <v>4042.3663999999999</v>
      </c>
      <c r="BH66" s="853">
        <f>+BE66+BF66-BG66</f>
        <v>186335.24281</v>
      </c>
      <c r="BI66" s="818">
        <f t="shared" si="294"/>
        <v>0.99484828953081672</v>
      </c>
      <c r="BJ66" s="779">
        <f t="shared" si="295"/>
        <v>2.1582290274510661E-2</v>
      </c>
      <c r="BK66" s="770">
        <f>BD66-BE66</f>
        <v>41623.841000000015</v>
      </c>
      <c r="BL66" s="772">
        <f>BE66-BH66</f>
        <v>964.916189999989</v>
      </c>
      <c r="BM66" s="780">
        <f>BD66-BH66</f>
        <v>42588.757190000004</v>
      </c>
      <c r="BN66" s="770"/>
      <c r="BO66" s="787"/>
      <c r="BP66" s="408" t="s">
        <v>49</v>
      </c>
      <c r="BQ66" s="447">
        <f>BQ12+BD66</f>
        <v>274930</v>
      </c>
      <c r="BR66" s="853">
        <f>BR12+BE66</f>
        <v>187300.15899999999</v>
      </c>
      <c r="BS66" s="853">
        <f>BS12+BF66</f>
        <v>3077.45021</v>
      </c>
      <c r="BT66" s="785">
        <f>BT12+BG66</f>
        <v>4042.3663999999999</v>
      </c>
      <c r="BU66" s="853">
        <f>+BR66+BS66-BT66</f>
        <v>186335.24281</v>
      </c>
      <c r="BV66" s="818">
        <f t="shared" si="296"/>
        <v>0.99484828953081672</v>
      </c>
      <c r="BW66" s="779">
        <f t="shared" si="297"/>
        <v>2.1582290274510661E-2</v>
      </c>
      <c r="BX66" s="770">
        <f>BQ66-BR66</f>
        <v>87629.841000000015</v>
      </c>
      <c r="BY66" s="772">
        <f>BR66-BU66</f>
        <v>964.916189999989</v>
      </c>
      <c r="BZ66" s="780">
        <f>BQ66-BU66</f>
        <v>88594.757190000004</v>
      </c>
      <c r="CA66" s="770"/>
      <c r="CB66" s="794"/>
      <c r="CC66" s="408" t="s">
        <v>49</v>
      </c>
      <c r="CD66" s="853">
        <f>CD12+BQ66</f>
        <v>320936</v>
      </c>
      <c r="CE66" s="853">
        <f>CE12+BR66</f>
        <v>187300.15899999999</v>
      </c>
      <c r="CF66" s="853">
        <f>CF12+BS66</f>
        <v>3077.45021</v>
      </c>
      <c r="CG66" s="785">
        <f>CG12+BT66</f>
        <v>4042.3663999999999</v>
      </c>
      <c r="CH66" s="853">
        <f>+CE66+CF66-CG66</f>
        <v>186335.24281</v>
      </c>
      <c r="CI66" s="818">
        <f t="shared" si="298"/>
        <v>0.99484828953081672</v>
      </c>
      <c r="CJ66" s="779">
        <f t="shared" si="299"/>
        <v>2.1582290274510661E-2</v>
      </c>
      <c r="CK66" s="781">
        <f>CD66-CE66</f>
        <v>133635.84100000001</v>
      </c>
      <c r="CL66" s="785">
        <f>CE66-CH66</f>
        <v>964.916189999989</v>
      </c>
      <c r="CM66" s="777">
        <f>CD66-CH66</f>
        <v>134600.75719</v>
      </c>
      <c r="CN66" s="770"/>
      <c r="CO66" s="789"/>
      <c r="CP66" s="408" t="s">
        <v>49</v>
      </c>
      <c r="CQ66" s="853">
        <f>CQ12+CD66</f>
        <v>364660</v>
      </c>
      <c r="CR66" s="853">
        <f>CR12+CE66</f>
        <v>187300.15899999999</v>
      </c>
      <c r="CS66" s="853">
        <f>CS12+CF66</f>
        <v>3077.45021</v>
      </c>
      <c r="CT66" s="785">
        <f>CT12+CG66</f>
        <v>4042.3663999999999</v>
      </c>
      <c r="CU66" s="853">
        <f>+CR66+CS66-CT66</f>
        <v>186335.24281</v>
      </c>
      <c r="CV66" s="818">
        <f t="shared" si="300"/>
        <v>0.99484828953081672</v>
      </c>
      <c r="CW66" s="779">
        <f t="shared" si="301"/>
        <v>2.1582290274510661E-2</v>
      </c>
      <c r="CX66" s="781">
        <f>CQ66-CR66</f>
        <v>177359.84100000001</v>
      </c>
      <c r="CY66" s="785">
        <f>CR66-CU66</f>
        <v>964.916189999989</v>
      </c>
      <c r="CZ66" s="777">
        <f>CQ66-CU66</f>
        <v>178324.75719</v>
      </c>
      <c r="DA66" s="770"/>
      <c r="DB66" s="790"/>
      <c r="DC66" s="408" t="s">
        <v>49</v>
      </c>
      <c r="DD66" s="853">
        <f>DD12+CQ66</f>
        <v>411544</v>
      </c>
      <c r="DE66" s="853">
        <f>DE12+CR66</f>
        <v>187300.15899999999</v>
      </c>
      <c r="DF66" s="853">
        <f>DF12+CS66</f>
        <v>3077.45021</v>
      </c>
      <c r="DG66" s="785">
        <f>DG12+CT66</f>
        <v>4042.3663999999999</v>
      </c>
      <c r="DH66" s="853">
        <f>+DE66+DF66-DG66</f>
        <v>186335.24281</v>
      </c>
      <c r="DI66" s="818">
        <f t="shared" si="302"/>
        <v>0.99484828953081672</v>
      </c>
      <c r="DJ66" s="779">
        <f t="shared" si="303"/>
        <v>2.1582290274510661E-2</v>
      </c>
      <c r="DK66" s="781">
        <f>DD66-DE66</f>
        <v>224243.84100000001</v>
      </c>
      <c r="DL66" s="785">
        <f>DE66-DH66</f>
        <v>964.916189999989</v>
      </c>
      <c r="DM66" s="777">
        <f>DD66-DH66</f>
        <v>225208.75719</v>
      </c>
      <c r="DN66" s="770"/>
      <c r="DO66" s="791"/>
      <c r="DP66" s="408" t="s">
        <v>49</v>
      </c>
      <c r="DQ66" s="853">
        <f>DQ12+DD66</f>
        <v>457576</v>
      </c>
      <c r="DR66" s="853">
        <f>DR12+DE66</f>
        <v>187300.15899999999</v>
      </c>
      <c r="DS66" s="853">
        <f>DS12+DF66</f>
        <v>3077.45021</v>
      </c>
      <c r="DT66" s="785">
        <f>DT12+DG66</f>
        <v>4042.3663999999999</v>
      </c>
      <c r="DU66" s="853">
        <f>+DR66+DS66-DT66</f>
        <v>186335.24281</v>
      </c>
      <c r="DV66" s="818">
        <f t="shared" si="304"/>
        <v>0.99484828953081672</v>
      </c>
      <c r="DW66" s="779">
        <f t="shared" si="305"/>
        <v>2.1582290274510661E-2</v>
      </c>
      <c r="DX66" s="781">
        <f>DQ66-DR66</f>
        <v>270275.84100000001</v>
      </c>
      <c r="DY66" s="785">
        <f>DR66-DU66</f>
        <v>964.916189999989</v>
      </c>
      <c r="DZ66" s="777">
        <f>DQ66-DU66</f>
        <v>271240.75719000003</v>
      </c>
      <c r="EA66" s="770"/>
      <c r="EB66" s="429"/>
      <c r="EC66" s="408" t="s">
        <v>49</v>
      </c>
      <c r="ED66" s="853">
        <f>ED12+DQ66</f>
        <v>503002</v>
      </c>
      <c r="EE66" s="853">
        <f>EE12+DR66</f>
        <v>187300.15899999999</v>
      </c>
      <c r="EF66" s="853">
        <f>EF12+DS66</f>
        <v>3077.45021</v>
      </c>
      <c r="EG66" s="772">
        <f>EG12+DT66</f>
        <v>4042.3663999999999</v>
      </c>
      <c r="EH66" s="853">
        <f>+EE66+EF66-EG66</f>
        <v>186335.24281</v>
      </c>
      <c r="EI66" s="818">
        <f t="shared" si="306"/>
        <v>0.99484828953081672</v>
      </c>
      <c r="EJ66" s="779">
        <f t="shared" si="307"/>
        <v>2.1582290274510661E-2</v>
      </c>
      <c r="EK66" s="781">
        <f>ED66-EE66</f>
        <v>315701.84100000001</v>
      </c>
      <c r="EL66" s="785">
        <f>EE66-EH66</f>
        <v>964.916189999989</v>
      </c>
      <c r="EM66" s="777">
        <f>ED66-EH66</f>
        <v>316666.75719000003</v>
      </c>
      <c r="EN66" s="770"/>
      <c r="EO66" s="792"/>
      <c r="EP66" s="408" t="s">
        <v>49</v>
      </c>
      <c r="EQ66" s="447">
        <f>EQ12+ED66</f>
        <v>549034</v>
      </c>
      <c r="ER66" s="853">
        <f>ER12+EE66</f>
        <v>187300.15899999999</v>
      </c>
      <c r="ES66" s="853">
        <f>ES12+EF66</f>
        <v>3077.45021</v>
      </c>
      <c r="ET66" s="785">
        <f>ET12+EG66</f>
        <v>4042.3663999999999</v>
      </c>
      <c r="EU66" s="853">
        <f>+ER66+ES66-ET66</f>
        <v>186335.24281</v>
      </c>
      <c r="EV66" s="818">
        <f t="shared" si="308"/>
        <v>0.99484828953081672</v>
      </c>
      <c r="EW66" s="779">
        <f t="shared" si="309"/>
        <v>2.1582290274510661E-2</v>
      </c>
      <c r="EX66" s="781">
        <f>EQ66-ER66</f>
        <v>361733.84100000001</v>
      </c>
      <c r="EY66" s="785">
        <f>ER66-EU66</f>
        <v>964.916189999989</v>
      </c>
      <c r="EZ66" s="777">
        <f>EQ66-EU66</f>
        <v>362698.75719000003</v>
      </c>
      <c r="FA66" s="776"/>
      <c r="FB66" s="776"/>
      <c r="FC66" s="776"/>
      <c r="FD66" s="776"/>
      <c r="FE66" s="776"/>
      <c r="FF66" s="776"/>
      <c r="FG66" s="776"/>
      <c r="FH66" s="776"/>
      <c r="FI66" s="776"/>
    </row>
    <row r="67" spans="1:165" s="208" customFormat="1" ht="15" customHeight="1">
      <c r="A67" s="772"/>
      <c r="B67" s="447"/>
      <c r="C67" s="455"/>
      <c r="D67" s="447"/>
      <c r="E67" s="447"/>
      <c r="F67" s="447"/>
      <c r="G67" s="214"/>
      <c r="H67" s="399"/>
      <c r="I67" s="779"/>
      <c r="J67" s="779"/>
      <c r="K67" s="770"/>
      <c r="L67" s="772"/>
      <c r="M67" s="780"/>
      <c r="N67" s="770"/>
      <c r="O67" s="793"/>
      <c r="P67" s="408"/>
      <c r="Q67" s="447"/>
      <c r="R67" s="447"/>
      <c r="S67" s="447"/>
      <c r="T67" s="772"/>
      <c r="U67" s="853"/>
      <c r="V67" s="779"/>
      <c r="W67" s="779"/>
      <c r="X67" s="770"/>
      <c r="Y67" s="772"/>
      <c r="Z67" s="780"/>
      <c r="AA67" s="770"/>
      <c r="AB67" s="783"/>
      <c r="AC67" s="408"/>
      <c r="AD67" s="447"/>
      <c r="AE67" s="447"/>
      <c r="AF67" s="447"/>
      <c r="AG67" s="772"/>
      <c r="AH67" s="853"/>
      <c r="AI67" s="779"/>
      <c r="AJ67" s="779"/>
      <c r="AK67" s="770"/>
      <c r="AL67" s="772"/>
      <c r="AM67" s="780"/>
      <c r="AN67" s="770"/>
      <c r="AO67" s="784"/>
      <c r="AP67" s="408"/>
      <c r="AQ67" s="447"/>
      <c r="AR67" s="853"/>
      <c r="AS67" s="853"/>
      <c r="AT67" s="785"/>
      <c r="AU67" s="853"/>
      <c r="AV67" s="818"/>
      <c r="AW67" s="779"/>
      <c r="AX67" s="770"/>
      <c r="AY67" s="772"/>
      <c r="AZ67" s="780"/>
      <c r="BA67" s="770"/>
      <c r="BB67" s="786"/>
      <c r="BC67" s="408"/>
      <c r="BD67" s="447"/>
      <c r="BE67" s="853"/>
      <c r="BF67" s="853"/>
      <c r="BG67" s="785"/>
      <c r="BH67" s="853"/>
      <c r="BI67" s="818"/>
      <c r="BJ67" s="779"/>
      <c r="BK67" s="770"/>
      <c r="BL67" s="772"/>
      <c r="BM67" s="780"/>
      <c r="BN67" s="770"/>
      <c r="BO67" s="787"/>
      <c r="BP67" s="408"/>
      <c r="BQ67" s="447"/>
      <c r="BR67" s="853"/>
      <c r="BS67" s="853"/>
      <c r="BT67" s="785"/>
      <c r="BU67" s="853"/>
      <c r="BV67" s="818"/>
      <c r="BW67" s="779"/>
      <c r="BX67" s="770"/>
      <c r="BY67" s="772"/>
      <c r="BZ67" s="780"/>
      <c r="CA67" s="770"/>
      <c r="CB67" s="794"/>
      <c r="CC67" s="408"/>
      <c r="CD67" s="853"/>
      <c r="CE67" s="853"/>
      <c r="CF67" s="853"/>
      <c r="CG67" s="785"/>
      <c r="CH67" s="853"/>
      <c r="CI67" s="818"/>
      <c r="CJ67" s="779"/>
      <c r="CK67" s="781"/>
      <c r="CL67" s="785"/>
      <c r="CM67" s="777"/>
      <c r="CN67" s="770"/>
      <c r="CO67" s="789"/>
      <c r="CP67" s="408"/>
      <c r="CQ67" s="853"/>
      <c r="CR67" s="853"/>
      <c r="CS67" s="853"/>
      <c r="CT67" s="785"/>
      <c r="CU67" s="853"/>
      <c r="CV67" s="818"/>
      <c r="CW67" s="779"/>
      <c r="CX67" s="781"/>
      <c r="CY67" s="785"/>
      <c r="CZ67" s="777"/>
      <c r="DA67" s="770"/>
      <c r="DB67" s="790"/>
      <c r="DC67" s="408"/>
      <c r="DD67" s="853"/>
      <c r="DE67" s="853"/>
      <c r="DF67" s="853"/>
      <c r="DG67" s="785"/>
      <c r="DH67" s="853"/>
      <c r="DI67" s="818"/>
      <c r="DJ67" s="779"/>
      <c r="DK67" s="781"/>
      <c r="DL67" s="785"/>
      <c r="DM67" s="777"/>
      <c r="DN67" s="770"/>
      <c r="DO67" s="791"/>
      <c r="DP67" s="408"/>
      <c r="DQ67" s="853"/>
      <c r="DR67" s="853"/>
      <c r="DS67" s="853"/>
      <c r="DT67" s="785"/>
      <c r="DU67" s="853"/>
      <c r="DV67" s="818"/>
      <c r="DW67" s="779"/>
      <c r="DX67" s="781"/>
      <c r="DY67" s="785"/>
      <c r="DZ67" s="777"/>
      <c r="EA67" s="770"/>
      <c r="EB67" s="429"/>
      <c r="EC67" s="408"/>
      <c r="ED67" s="853"/>
      <c r="EE67" s="853"/>
      <c r="EF67" s="853"/>
      <c r="EG67" s="772"/>
      <c r="EH67" s="853"/>
      <c r="EI67" s="818"/>
      <c r="EJ67" s="779"/>
      <c r="EK67" s="781"/>
      <c r="EL67" s="785"/>
      <c r="EM67" s="777"/>
      <c r="EN67" s="770"/>
      <c r="EO67" s="792"/>
      <c r="EP67" s="408"/>
      <c r="EQ67" s="447"/>
      <c r="ER67" s="853"/>
      <c r="ES67" s="853"/>
      <c r="ET67" s="785"/>
      <c r="EU67" s="853"/>
      <c r="EV67" s="818"/>
      <c r="EW67" s="779"/>
      <c r="EX67" s="781"/>
      <c r="EY67" s="785"/>
      <c r="EZ67" s="777"/>
      <c r="FA67" s="776"/>
      <c r="FB67" s="776"/>
      <c r="FC67" s="776"/>
      <c r="FD67" s="776"/>
      <c r="FE67" s="776"/>
      <c r="FF67" s="776"/>
      <c r="FG67" s="776"/>
      <c r="FH67" s="776"/>
      <c r="FI67" s="776"/>
    </row>
    <row r="68" spans="1:165" s="208" customFormat="1" ht="15" customHeight="1">
      <c r="A68" s="772"/>
      <c r="B68" s="447"/>
      <c r="C68" s="455" t="s">
        <v>50</v>
      </c>
      <c r="D68" s="447">
        <f>D14</f>
        <v>55622</v>
      </c>
      <c r="E68" s="447">
        <f>E14</f>
        <v>54239.720000000023</v>
      </c>
      <c r="F68" s="447">
        <f>F14</f>
        <v>721.13339999999994</v>
      </c>
      <c r="G68" s="214">
        <f>G14</f>
        <v>1898.8500000000001</v>
      </c>
      <c r="H68" s="399">
        <f>+E68+F68-G68</f>
        <v>53062.003400000023</v>
      </c>
      <c r="I68" s="779">
        <f>IF(E68=0,"-",H68/E68)</f>
        <v>0.97828682375204001</v>
      </c>
      <c r="J68" s="779">
        <f>IF(ISERROR(G68/E68),"",G68/E68)</f>
        <v>3.5008477182404324E-2</v>
      </c>
      <c r="K68" s="770">
        <f>D68-E68</f>
        <v>1382.279999999977</v>
      </c>
      <c r="L68" s="772">
        <f>E68-H68</f>
        <v>1177.7165999999997</v>
      </c>
      <c r="M68" s="780">
        <f>D68-H68</f>
        <v>2559.9965999999768</v>
      </c>
      <c r="N68" s="770"/>
      <c r="O68" s="793"/>
      <c r="P68" s="408" t="s">
        <v>50</v>
      </c>
      <c r="Q68" s="447">
        <f>Q14+D68</f>
        <v>111510</v>
      </c>
      <c r="R68" s="447">
        <f>R14+E68</f>
        <v>108861.17000000003</v>
      </c>
      <c r="S68" s="447">
        <f>S14+F68</f>
        <v>1613.5835</v>
      </c>
      <c r="T68" s="772">
        <f>T14+G68</f>
        <v>3850.25</v>
      </c>
      <c r="U68" s="853">
        <f>+R68+S68-T68</f>
        <v>106624.50350000002</v>
      </c>
      <c r="V68" s="779">
        <f>IF(R68=0,"-",U68/R68)</f>
        <v>0.97945395497770227</v>
      </c>
      <c r="W68" s="779">
        <f t="shared" si="288"/>
        <v>3.5368442209467332E-2</v>
      </c>
      <c r="X68" s="770">
        <f t="shared" si="289"/>
        <v>2648.8299999999726</v>
      </c>
      <c r="Y68" s="772">
        <f t="shared" si="290"/>
        <v>2236.6665000000066</v>
      </c>
      <c r="Z68" s="780">
        <f t="shared" si="291"/>
        <v>4885.4964999999793</v>
      </c>
      <c r="AA68" s="770"/>
      <c r="AB68" s="783"/>
      <c r="AC68" s="408" t="s">
        <v>50</v>
      </c>
      <c r="AD68" s="447">
        <f>AD14+Q68</f>
        <v>164314</v>
      </c>
      <c r="AE68" s="447">
        <f>AE14+R68</f>
        <v>160058.10000000003</v>
      </c>
      <c r="AF68" s="447">
        <f>AF14+S68</f>
        <v>2639.6667299999999</v>
      </c>
      <c r="AG68" s="772">
        <f>AG14+T68</f>
        <v>6399.4833333333336</v>
      </c>
      <c r="AH68" s="853">
        <f>+AE68+AF68-AG68</f>
        <v>156298.28339666669</v>
      </c>
      <c r="AI68" s="779">
        <f>IF(AE68=0,"-",AH68/AE68)</f>
        <v>0.97650967615301354</v>
      </c>
      <c r="AJ68" s="779">
        <f t="shared" si="292"/>
        <v>3.9982252277974889E-2</v>
      </c>
      <c r="AK68" s="770">
        <f>AD68-AE68</f>
        <v>4255.8999999999651</v>
      </c>
      <c r="AL68" s="772">
        <f>AE68-AH68</f>
        <v>3759.81660333334</v>
      </c>
      <c r="AM68" s="780">
        <f>AD68-AH68</f>
        <v>8015.7166033333051</v>
      </c>
      <c r="AN68" s="770"/>
      <c r="AO68" s="784"/>
      <c r="AP68" s="408" t="s">
        <v>50</v>
      </c>
      <c r="AQ68" s="447">
        <f>AQ14+AD68</f>
        <v>219116</v>
      </c>
      <c r="AR68" s="853">
        <f>AR14+AE68</f>
        <v>213771.87000000005</v>
      </c>
      <c r="AS68" s="853">
        <f>AS14+AF68</f>
        <v>3724.6336299999998</v>
      </c>
      <c r="AT68" s="785">
        <f>AT14+AG68</f>
        <v>9277.4181333333327</v>
      </c>
      <c r="AU68" s="853">
        <f>+AR68+AS68-AT68</f>
        <v>208219.08549666672</v>
      </c>
      <c r="AV68" s="818">
        <f>IF(AR68=0,"-",AU68/AR68)</f>
        <v>0.97402471848455396</v>
      </c>
      <c r="AW68" s="779">
        <f t="shared" si="293"/>
        <v>4.3398685399221752E-2</v>
      </c>
      <c r="AX68" s="770">
        <f>AQ68-AR68</f>
        <v>5344.1299999999464</v>
      </c>
      <c r="AY68" s="772">
        <f>AR68-AU68</f>
        <v>5552.7845033333288</v>
      </c>
      <c r="AZ68" s="780">
        <f>AQ68-AU68</f>
        <v>10896.914503333275</v>
      </c>
      <c r="BA68" s="770"/>
      <c r="BB68" s="786"/>
      <c r="BC68" s="408" t="s">
        <v>50</v>
      </c>
      <c r="BD68" s="447">
        <f>BD14+AQ68</f>
        <v>272186</v>
      </c>
      <c r="BE68" s="853">
        <f>BE14+AR68</f>
        <v>213771.87000000005</v>
      </c>
      <c r="BF68" s="853">
        <f>BF14+AS68</f>
        <v>3724.6336299999998</v>
      </c>
      <c r="BG68" s="785">
        <f>BG14+AT68</f>
        <v>9277.4181333333327</v>
      </c>
      <c r="BH68" s="853">
        <f>+BE68+BF68-BG68</f>
        <v>208219.08549666672</v>
      </c>
      <c r="BI68" s="818">
        <f t="shared" si="294"/>
        <v>0.97402471848455396</v>
      </c>
      <c r="BJ68" s="779">
        <f t="shared" si="295"/>
        <v>4.3398685399221752E-2</v>
      </c>
      <c r="BK68" s="770">
        <f>BD68-BE68</f>
        <v>58414.129999999946</v>
      </c>
      <c r="BL68" s="772">
        <f>BE68-BH68</f>
        <v>5552.7845033333288</v>
      </c>
      <c r="BM68" s="780">
        <f>BD68-BH68</f>
        <v>63966.914503333275</v>
      </c>
      <c r="BN68" s="770"/>
      <c r="BO68" s="787"/>
      <c r="BP68" s="408" t="s">
        <v>50</v>
      </c>
      <c r="BQ68" s="447">
        <f>BQ14+BD68</f>
        <v>326988</v>
      </c>
      <c r="BR68" s="853">
        <f>BR14+BE68</f>
        <v>213771.87000000005</v>
      </c>
      <c r="BS68" s="853">
        <f>BS14+BF68</f>
        <v>3724.6336299999998</v>
      </c>
      <c r="BT68" s="785">
        <f>BT14+BG68</f>
        <v>9277.4181333333327</v>
      </c>
      <c r="BU68" s="853">
        <f>+BR68+BS68-BT68</f>
        <v>208219.08549666672</v>
      </c>
      <c r="BV68" s="818">
        <f t="shared" si="296"/>
        <v>0.97402471848455396</v>
      </c>
      <c r="BW68" s="779">
        <f t="shared" si="297"/>
        <v>4.3398685399221752E-2</v>
      </c>
      <c r="BX68" s="770">
        <f>BQ68-BR68</f>
        <v>113216.12999999995</v>
      </c>
      <c r="BY68" s="772">
        <f>BR68-BU68</f>
        <v>5552.7845033333288</v>
      </c>
      <c r="BZ68" s="780">
        <f>BQ68-BU68</f>
        <v>118768.91450333328</v>
      </c>
      <c r="CA68" s="770"/>
      <c r="CB68" s="794"/>
      <c r="CC68" s="408" t="s">
        <v>50</v>
      </c>
      <c r="CD68" s="853">
        <f>CD14+BQ68</f>
        <v>381790</v>
      </c>
      <c r="CE68" s="853">
        <f>CE14+BR68</f>
        <v>213771.87000000005</v>
      </c>
      <c r="CF68" s="853">
        <f>CF14+BS68</f>
        <v>3724.6336299999998</v>
      </c>
      <c r="CG68" s="785">
        <f>CG14+BT68</f>
        <v>9277.4181333333327</v>
      </c>
      <c r="CH68" s="853">
        <f>+CE68+CF68-CG68</f>
        <v>208219.08549666672</v>
      </c>
      <c r="CI68" s="818">
        <f t="shared" si="298"/>
        <v>0.97402471848455396</v>
      </c>
      <c r="CJ68" s="779">
        <f t="shared" si="299"/>
        <v>4.3398685399221752E-2</v>
      </c>
      <c r="CK68" s="781">
        <f>CD68-CE68</f>
        <v>168018.12999999995</v>
      </c>
      <c r="CL68" s="785">
        <f>CE68-CH68</f>
        <v>5552.7845033333288</v>
      </c>
      <c r="CM68" s="777">
        <f>CD68-CH68</f>
        <v>173570.91450333328</v>
      </c>
      <c r="CN68" s="781"/>
      <c r="CO68" s="789"/>
      <c r="CP68" s="408" t="s">
        <v>50</v>
      </c>
      <c r="CQ68" s="853">
        <f>CQ14+CD68</f>
        <v>433682</v>
      </c>
      <c r="CR68" s="853">
        <f>CR14+CE68</f>
        <v>213771.87000000005</v>
      </c>
      <c r="CS68" s="853">
        <f>CS14+CF68</f>
        <v>3724.6336299999998</v>
      </c>
      <c r="CT68" s="785">
        <f>CT14+CG68</f>
        <v>9277.4181333333327</v>
      </c>
      <c r="CU68" s="853">
        <f>+CR68+CS68-CT68</f>
        <v>208219.08549666672</v>
      </c>
      <c r="CV68" s="818">
        <f t="shared" si="300"/>
        <v>0.97402471848455396</v>
      </c>
      <c r="CW68" s="779">
        <f t="shared" si="301"/>
        <v>4.3398685399221752E-2</v>
      </c>
      <c r="CX68" s="781">
        <f>CQ68-CR68</f>
        <v>219910.12999999995</v>
      </c>
      <c r="CY68" s="785">
        <f>CR68-CU68</f>
        <v>5552.7845033333288</v>
      </c>
      <c r="CZ68" s="777">
        <f>CQ68-CU68</f>
        <v>225462.91450333328</v>
      </c>
      <c r="DA68" s="770"/>
      <c r="DB68" s="790"/>
      <c r="DC68" s="408" t="s">
        <v>50</v>
      </c>
      <c r="DD68" s="853">
        <f>DD14+CQ68</f>
        <v>489304</v>
      </c>
      <c r="DE68" s="853">
        <f>DE14+CR68</f>
        <v>213771.87000000005</v>
      </c>
      <c r="DF68" s="853">
        <f>DF14+CS68</f>
        <v>3724.6336299999998</v>
      </c>
      <c r="DG68" s="785">
        <f>DG14+CT68</f>
        <v>9277.4181333333327</v>
      </c>
      <c r="DH68" s="853">
        <f>+DE68+DF68-DG68</f>
        <v>208219.08549666672</v>
      </c>
      <c r="DI68" s="818">
        <f t="shared" si="302"/>
        <v>0.97402471848455396</v>
      </c>
      <c r="DJ68" s="779">
        <f t="shared" si="303"/>
        <v>4.3398685399221752E-2</v>
      </c>
      <c r="DK68" s="781">
        <f>DD68-DE68</f>
        <v>275532.12999999995</v>
      </c>
      <c r="DL68" s="785">
        <f>DE68-DH68</f>
        <v>5552.7845033333288</v>
      </c>
      <c r="DM68" s="777">
        <f>DD68-DH68</f>
        <v>281084.91450333328</v>
      </c>
      <c r="DN68" s="770"/>
      <c r="DO68" s="791"/>
      <c r="DP68" s="408" t="s">
        <v>50</v>
      </c>
      <c r="DQ68" s="853">
        <f>DQ14+DD68</f>
        <v>543748</v>
      </c>
      <c r="DR68" s="853">
        <f>DR14+DE68</f>
        <v>213771.87000000005</v>
      </c>
      <c r="DS68" s="853">
        <f>DS14+DF68</f>
        <v>3724.6336299999998</v>
      </c>
      <c r="DT68" s="785">
        <f>DT14+DG68</f>
        <v>9277.4181333333327</v>
      </c>
      <c r="DU68" s="853">
        <f>+DR68+DS68-DT68</f>
        <v>208219.08549666672</v>
      </c>
      <c r="DV68" s="818">
        <f t="shared" si="304"/>
        <v>0.97402471848455396</v>
      </c>
      <c r="DW68" s="779">
        <f t="shared" si="305"/>
        <v>4.3398685399221752E-2</v>
      </c>
      <c r="DX68" s="781">
        <f>DQ68-DR68</f>
        <v>329976.12999999995</v>
      </c>
      <c r="DY68" s="785">
        <f>DR68-DU68</f>
        <v>5552.7845033333288</v>
      </c>
      <c r="DZ68" s="777">
        <f>DQ68-DU68</f>
        <v>335528.91450333328</v>
      </c>
      <c r="EA68" s="770"/>
      <c r="EB68" s="429"/>
      <c r="EC68" s="408" t="s">
        <v>50</v>
      </c>
      <c r="ED68" s="853">
        <f>ED14+DQ68</f>
        <v>597996</v>
      </c>
      <c r="EE68" s="853">
        <f>EE14+DR68</f>
        <v>213771.87000000005</v>
      </c>
      <c r="EF68" s="853">
        <f>EF14+DS68</f>
        <v>3724.6336299999998</v>
      </c>
      <c r="EG68" s="772">
        <f>EG14+DT68</f>
        <v>9277.4181333333327</v>
      </c>
      <c r="EH68" s="853">
        <f>+EE68+EF68-EG68</f>
        <v>208219.08549666672</v>
      </c>
      <c r="EI68" s="818">
        <f t="shared" si="306"/>
        <v>0.97402471848455396</v>
      </c>
      <c r="EJ68" s="779">
        <f t="shared" si="307"/>
        <v>4.3398685399221752E-2</v>
      </c>
      <c r="EK68" s="781">
        <f>ED68-EE68</f>
        <v>384224.12999999995</v>
      </c>
      <c r="EL68" s="785">
        <f>EE68-EH68</f>
        <v>5552.7845033333288</v>
      </c>
      <c r="EM68" s="777">
        <f>ED68-EH68</f>
        <v>389776.91450333328</v>
      </c>
      <c r="EN68" s="770"/>
      <c r="EO68" s="792"/>
      <c r="EP68" s="408" t="s">
        <v>50</v>
      </c>
      <c r="EQ68" s="447">
        <f>EQ14+ED68</f>
        <v>652440</v>
      </c>
      <c r="ER68" s="853">
        <f>ER14+EE68</f>
        <v>213771.87000000005</v>
      </c>
      <c r="ES68" s="853">
        <f>ES14+EF68</f>
        <v>3724.6336299999998</v>
      </c>
      <c r="ET68" s="785">
        <f>ET14+EG68</f>
        <v>9277.4181333333327</v>
      </c>
      <c r="EU68" s="853">
        <f>+ER68+ES68-ET68</f>
        <v>208219.08549666672</v>
      </c>
      <c r="EV68" s="818">
        <f t="shared" si="308"/>
        <v>0.97402471848455396</v>
      </c>
      <c r="EW68" s="779">
        <f t="shared" si="309"/>
        <v>4.3398685399221752E-2</v>
      </c>
      <c r="EX68" s="781">
        <f>EQ68-ER68</f>
        <v>438668.12999999995</v>
      </c>
      <c r="EY68" s="785">
        <f>ER68-EU68</f>
        <v>5552.7845033333288</v>
      </c>
      <c r="EZ68" s="777">
        <f>EQ68-EU68</f>
        <v>444220.91450333328</v>
      </c>
      <c r="FA68" s="776"/>
      <c r="FB68" s="776"/>
      <c r="FC68" s="776"/>
      <c r="FD68" s="776"/>
      <c r="FE68" s="776"/>
      <c r="FF68" s="776"/>
      <c r="FG68" s="776"/>
      <c r="FH68" s="776"/>
      <c r="FI68" s="776"/>
    </row>
    <row r="69" spans="1:165" s="208" customFormat="1" ht="15" customHeight="1">
      <c r="A69" s="772"/>
      <c r="B69" s="447"/>
      <c r="C69" s="455"/>
      <c r="D69" s="447"/>
      <c r="E69" s="447"/>
      <c r="F69" s="447"/>
      <c r="G69" s="214"/>
      <c r="H69" s="399"/>
      <c r="I69" s="779"/>
      <c r="J69" s="779"/>
      <c r="K69" s="770"/>
      <c r="L69" s="772"/>
      <c r="M69" s="780"/>
      <c r="N69" s="770"/>
      <c r="O69" s="793"/>
      <c r="P69" s="408"/>
      <c r="Q69" s="447"/>
      <c r="R69" s="447"/>
      <c r="S69" s="447"/>
      <c r="T69" s="772"/>
      <c r="U69" s="853"/>
      <c r="V69" s="779"/>
      <c r="W69" s="779"/>
      <c r="X69" s="770"/>
      <c r="Y69" s="772"/>
      <c r="Z69" s="780"/>
      <c r="AA69" s="770"/>
      <c r="AB69" s="783"/>
      <c r="AC69" s="408"/>
      <c r="AD69" s="447"/>
      <c r="AE69" s="447"/>
      <c r="AF69" s="447"/>
      <c r="AG69" s="772"/>
      <c r="AH69" s="853"/>
      <c r="AI69" s="779"/>
      <c r="AJ69" s="779"/>
      <c r="AK69" s="770"/>
      <c r="AL69" s="772"/>
      <c r="AM69" s="780"/>
      <c r="AN69" s="770"/>
      <c r="AO69" s="784"/>
      <c r="AP69" s="408"/>
      <c r="AQ69" s="447"/>
      <c r="AR69" s="853"/>
      <c r="AS69" s="853"/>
      <c r="AT69" s="785"/>
      <c r="AU69" s="853"/>
      <c r="AV69" s="818"/>
      <c r="AW69" s="779"/>
      <c r="AX69" s="770"/>
      <c r="AY69" s="772"/>
      <c r="AZ69" s="780"/>
      <c r="BA69" s="770"/>
      <c r="BB69" s="786"/>
      <c r="BC69" s="408"/>
      <c r="BD69" s="447"/>
      <c r="BE69" s="853"/>
      <c r="BF69" s="853"/>
      <c r="BG69" s="785"/>
      <c r="BH69" s="853"/>
      <c r="BI69" s="818"/>
      <c r="BJ69" s="779"/>
      <c r="BK69" s="770"/>
      <c r="BL69" s="772"/>
      <c r="BM69" s="780"/>
      <c r="BN69" s="770"/>
      <c r="BO69" s="787"/>
      <c r="BP69" s="408"/>
      <c r="BQ69" s="447"/>
      <c r="BR69" s="853"/>
      <c r="BS69" s="853"/>
      <c r="BT69" s="785"/>
      <c r="BU69" s="853"/>
      <c r="BV69" s="818"/>
      <c r="BW69" s="779"/>
      <c r="BX69" s="770"/>
      <c r="BY69" s="772"/>
      <c r="BZ69" s="780"/>
      <c r="CA69" s="770"/>
      <c r="CB69" s="794"/>
      <c r="CC69" s="408"/>
      <c r="CD69" s="853"/>
      <c r="CE69" s="853"/>
      <c r="CF69" s="853"/>
      <c r="CG69" s="785"/>
      <c r="CH69" s="853"/>
      <c r="CI69" s="818"/>
      <c r="CJ69" s="779"/>
      <c r="CK69" s="781"/>
      <c r="CL69" s="785"/>
      <c r="CM69" s="777"/>
      <c r="CN69" s="781"/>
      <c r="CO69" s="789"/>
      <c r="CP69" s="408"/>
      <c r="CQ69" s="853"/>
      <c r="CR69" s="853"/>
      <c r="CS69" s="853"/>
      <c r="CT69" s="785"/>
      <c r="CU69" s="853"/>
      <c r="CV69" s="818"/>
      <c r="CW69" s="779"/>
      <c r="CX69" s="781"/>
      <c r="CY69" s="785"/>
      <c r="CZ69" s="777"/>
      <c r="DA69" s="770"/>
      <c r="DB69" s="790"/>
      <c r="DC69" s="408"/>
      <c r="DD69" s="853"/>
      <c r="DE69" s="853"/>
      <c r="DF69" s="853"/>
      <c r="DG69" s="785"/>
      <c r="DH69" s="853"/>
      <c r="DI69" s="818"/>
      <c r="DJ69" s="779"/>
      <c r="DK69" s="781"/>
      <c r="DL69" s="785"/>
      <c r="DM69" s="777"/>
      <c r="DN69" s="770"/>
      <c r="DO69" s="791"/>
      <c r="DP69" s="408"/>
      <c r="DQ69" s="853"/>
      <c r="DR69" s="853"/>
      <c r="DS69" s="853"/>
      <c r="DT69" s="785"/>
      <c r="DU69" s="853"/>
      <c r="DV69" s="818"/>
      <c r="DW69" s="779"/>
      <c r="DX69" s="781"/>
      <c r="DY69" s="785"/>
      <c r="DZ69" s="777"/>
      <c r="EA69" s="770"/>
      <c r="EB69" s="429"/>
      <c r="EC69" s="408"/>
      <c r="ED69" s="853"/>
      <c r="EE69" s="853"/>
      <c r="EF69" s="853"/>
      <c r="EG69" s="772"/>
      <c r="EH69" s="853"/>
      <c r="EI69" s="818"/>
      <c r="EJ69" s="779"/>
      <c r="EK69" s="781"/>
      <c r="EL69" s="785"/>
      <c r="EM69" s="777"/>
      <c r="EN69" s="770"/>
      <c r="EO69" s="792"/>
      <c r="EP69" s="408"/>
      <c r="EQ69" s="447"/>
      <c r="ER69" s="853"/>
      <c r="ES69" s="853"/>
      <c r="ET69" s="785"/>
      <c r="EU69" s="853"/>
      <c r="EV69" s="818"/>
      <c r="EW69" s="779"/>
      <c r="EX69" s="781"/>
      <c r="EY69" s="785"/>
      <c r="EZ69" s="777"/>
      <c r="FA69" s="776"/>
      <c r="FB69" s="776"/>
      <c r="FC69" s="776"/>
      <c r="FD69" s="776"/>
      <c r="FE69" s="776"/>
      <c r="FF69" s="776"/>
      <c r="FG69" s="776"/>
      <c r="FH69" s="776"/>
      <c r="FI69" s="776"/>
    </row>
    <row r="70" spans="1:165" s="208" customFormat="1" ht="15" customHeight="1">
      <c r="A70" s="785"/>
      <c r="B70" s="447"/>
      <c r="C70" s="455" t="s">
        <v>51</v>
      </c>
      <c r="D70" s="447">
        <f>D16</f>
        <v>47605</v>
      </c>
      <c r="E70" s="447">
        <f>E16</f>
        <v>47640.049999999996</v>
      </c>
      <c r="F70" s="447">
        <f>F16</f>
        <v>205.48333</v>
      </c>
      <c r="G70" s="214">
        <f>G16</f>
        <v>378.29999999999995</v>
      </c>
      <c r="H70" s="399">
        <f>+E70+F70-G70</f>
        <v>47467.233329999995</v>
      </c>
      <c r="I70" s="779">
        <f>IF(E70=0,"-",H70/E70)</f>
        <v>0.99637244986098883</v>
      </c>
      <c r="J70" s="779">
        <f>IF(ISERROR(G70/E70),"",G70/E70)</f>
        <v>7.9407977111694891E-3</v>
      </c>
      <c r="K70" s="770">
        <f>D70-E70</f>
        <v>-35.049999999995634</v>
      </c>
      <c r="L70" s="772">
        <f>E70-H70</f>
        <v>172.81667000000016</v>
      </c>
      <c r="M70" s="780">
        <f>D70-H70</f>
        <v>137.76667000000452</v>
      </c>
      <c r="N70" s="781"/>
      <c r="O70" s="793"/>
      <c r="P70" s="408" t="s">
        <v>51</v>
      </c>
      <c r="Q70" s="447">
        <f>Q16+D70</f>
        <v>95361</v>
      </c>
      <c r="R70" s="447">
        <f>R16+E70</f>
        <v>95649.87</v>
      </c>
      <c r="S70" s="447">
        <f>S16+F70</f>
        <v>467.69994000000008</v>
      </c>
      <c r="T70" s="772">
        <f>T16+G70</f>
        <v>840.26666666666654</v>
      </c>
      <c r="U70" s="853">
        <f>+R70+S70-T70</f>
        <v>95277.303273333338</v>
      </c>
      <c r="V70" s="779">
        <f>IF(R70=0,"-",U70/R70)</f>
        <v>0.99610489040218608</v>
      </c>
      <c r="W70" s="779">
        <f t="shared" si="288"/>
        <v>8.7848176549185746E-3</v>
      </c>
      <c r="X70" s="770">
        <f t="shared" si="289"/>
        <v>-288.86999999999534</v>
      </c>
      <c r="Y70" s="772">
        <f t="shared" si="290"/>
        <v>372.5667266666569</v>
      </c>
      <c r="Z70" s="780">
        <f t="shared" si="291"/>
        <v>83.696726666661561</v>
      </c>
      <c r="AA70" s="781"/>
      <c r="AB70" s="783"/>
      <c r="AC70" s="408" t="s">
        <v>51</v>
      </c>
      <c r="AD70" s="447">
        <f>AD16+Q70</f>
        <v>140260</v>
      </c>
      <c r="AE70" s="447">
        <f>AE16+R70</f>
        <v>141024.18099999998</v>
      </c>
      <c r="AF70" s="447">
        <f>AF16+S70</f>
        <v>812.89988000000017</v>
      </c>
      <c r="AG70" s="772">
        <f>AG16+T70</f>
        <v>1230.1499999999999</v>
      </c>
      <c r="AH70" s="853">
        <f>+AE70+AF70-AG70</f>
        <v>140606.93088</v>
      </c>
      <c r="AI70" s="779">
        <f>IF(AE70=0,"-",AH70/AE70)</f>
        <v>0.99704128669961944</v>
      </c>
      <c r="AJ70" s="779">
        <f t="shared" si="292"/>
        <v>8.722972126319244E-3</v>
      </c>
      <c r="AK70" s="770">
        <f>AD70-AE70</f>
        <v>-764.1809999999823</v>
      </c>
      <c r="AL70" s="772">
        <f>AE70-AH70</f>
        <v>417.25011999998242</v>
      </c>
      <c r="AM70" s="780">
        <f>AD70-AH70</f>
        <v>-346.93087999999989</v>
      </c>
      <c r="AN70" s="781"/>
      <c r="AO70" s="784"/>
      <c r="AP70" s="408" t="s">
        <v>51</v>
      </c>
      <c r="AQ70" s="447">
        <f>AQ16+AD70</f>
        <v>186943</v>
      </c>
      <c r="AR70" s="853">
        <f>AR16+AE70</f>
        <v>189484.12699999998</v>
      </c>
      <c r="AS70" s="853">
        <f>AS16+AF70</f>
        <v>1228.1333500000001</v>
      </c>
      <c r="AT70" s="785">
        <f>AT16+AG70</f>
        <v>1918.0836699999998</v>
      </c>
      <c r="AU70" s="853">
        <f>+AR70+AS70-AT70</f>
        <v>188794.17667999998</v>
      </c>
      <c r="AV70" s="818">
        <f>IF(AR70=0,"-",AU70/AR70)</f>
        <v>0.99635879621726831</v>
      </c>
      <c r="AW70" s="779">
        <f t="shared" si="293"/>
        <v>1.0122661461769829E-2</v>
      </c>
      <c r="AX70" s="770">
        <f>AQ70-AR70</f>
        <v>-2541.1269999999786</v>
      </c>
      <c r="AY70" s="772">
        <f>AR70-AU70</f>
        <v>689.95032000000356</v>
      </c>
      <c r="AZ70" s="780">
        <f>AQ70-AU70</f>
        <v>-1851.176679999975</v>
      </c>
      <c r="BA70" s="781"/>
      <c r="BB70" s="786"/>
      <c r="BC70" s="408" t="s">
        <v>51</v>
      </c>
      <c r="BD70" s="447">
        <f>BD16+AQ70</f>
        <v>231993</v>
      </c>
      <c r="BE70" s="853">
        <f>BE16+AR70</f>
        <v>189484.12699999998</v>
      </c>
      <c r="BF70" s="853">
        <f>BF16+AS70</f>
        <v>1228.1333500000001</v>
      </c>
      <c r="BG70" s="785">
        <f>BG16+AT70</f>
        <v>1918.0836699999998</v>
      </c>
      <c r="BH70" s="853">
        <f>+BE70+BF70-BG70</f>
        <v>188794.17667999998</v>
      </c>
      <c r="BI70" s="818">
        <f t="shared" si="294"/>
        <v>0.99635879621726831</v>
      </c>
      <c r="BJ70" s="779">
        <f t="shared" si="295"/>
        <v>1.0122661461769829E-2</v>
      </c>
      <c r="BK70" s="770">
        <f>BD70-BE70</f>
        <v>42508.873000000021</v>
      </c>
      <c r="BL70" s="772">
        <f>BE70-BH70</f>
        <v>689.95032000000356</v>
      </c>
      <c r="BM70" s="780">
        <f>BD70-BH70</f>
        <v>43198.823320000025</v>
      </c>
      <c r="BN70" s="781"/>
      <c r="BO70" s="787"/>
      <c r="BP70" s="408" t="s">
        <v>51</v>
      </c>
      <c r="BQ70" s="447">
        <f>BQ16+BD70</f>
        <v>278676</v>
      </c>
      <c r="BR70" s="853">
        <f>BR16+BE70</f>
        <v>189484.12699999998</v>
      </c>
      <c r="BS70" s="853">
        <f>BS16+BF70</f>
        <v>1228.1333500000001</v>
      </c>
      <c r="BT70" s="785">
        <f>BT16+BG70</f>
        <v>1918.0836699999998</v>
      </c>
      <c r="BU70" s="853">
        <f>+BR70+BS70-BT70</f>
        <v>188794.17667999998</v>
      </c>
      <c r="BV70" s="818">
        <f t="shared" si="296"/>
        <v>0.99635879621726831</v>
      </c>
      <c r="BW70" s="779">
        <f t="shared" si="297"/>
        <v>1.0122661461769829E-2</v>
      </c>
      <c r="BX70" s="770">
        <f>BQ70-BR70</f>
        <v>89191.873000000021</v>
      </c>
      <c r="BY70" s="772">
        <f>BR70-BU70</f>
        <v>689.95032000000356</v>
      </c>
      <c r="BZ70" s="780">
        <f>BQ70-BU70</f>
        <v>89881.823320000025</v>
      </c>
      <c r="CA70" s="781"/>
      <c r="CB70" s="794"/>
      <c r="CC70" s="408" t="s">
        <v>51</v>
      </c>
      <c r="CD70" s="853">
        <f>CD16+BQ70</f>
        <v>325359</v>
      </c>
      <c r="CE70" s="853">
        <f>CE16+BR70</f>
        <v>189484.12699999998</v>
      </c>
      <c r="CF70" s="853">
        <f>CF16+BS70</f>
        <v>1228.1333500000001</v>
      </c>
      <c r="CG70" s="785">
        <f>CG16+BT70</f>
        <v>1918.0836699999998</v>
      </c>
      <c r="CH70" s="853">
        <f>+CE70+CF70-CG70</f>
        <v>188794.17667999998</v>
      </c>
      <c r="CI70" s="818">
        <f t="shared" si="298"/>
        <v>0.99635879621726831</v>
      </c>
      <c r="CJ70" s="779">
        <f t="shared" si="299"/>
        <v>1.0122661461769829E-2</v>
      </c>
      <c r="CK70" s="781">
        <f>CD70-CE70</f>
        <v>135874.87300000002</v>
      </c>
      <c r="CL70" s="785">
        <f>CE70-CH70</f>
        <v>689.95032000000356</v>
      </c>
      <c r="CM70" s="777">
        <f>CD70-CH70</f>
        <v>136564.82332000002</v>
      </c>
      <c r="CN70" s="781"/>
      <c r="CO70" s="789"/>
      <c r="CP70" s="408" t="s">
        <v>51</v>
      </c>
      <c r="CQ70" s="853">
        <f>CQ16+CD70</f>
        <v>369547</v>
      </c>
      <c r="CR70" s="853">
        <f>CR16+CE70</f>
        <v>189484.12699999998</v>
      </c>
      <c r="CS70" s="853">
        <f>CS16+CF70</f>
        <v>1228.1333500000001</v>
      </c>
      <c r="CT70" s="785">
        <f>CT16+CG70</f>
        <v>1918.0836699999998</v>
      </c>
      <c r="CU70" s="853">
        <f>+CR70+CS70-CT70</f>
        <v>188794.17667999998</v>
      </c>
      <c r="CV70" s="818">
        <f t="shared" si="300"/>
        <v>0.99635879621726831</v>
      </c>
      <c r="CW70" s="779">
        <f t="shared" si="301"/>
        <v>1.0122661461769829E-2</v>
      </c>
      <c r="CX70" s="781">
        <f>CQ70-CR70</f>
        <v>180062.87300000002</v>
      </c>
      <c r="CY70" s="785">
        <f>CR70-CU70</f>
        <v>689.95032000000356</v>
      </c>
      <c r="CZ70" s="777">
        <f>CQ70-CU70</f>
        <v>180752.82332000002</v>
      </c>
      <c r="DA70" s="781"/>
      <c r="DB70" s="790"/>
      <c r="DC70" s="408" t="s">
        <v>51</v>
      </c>
      <c r="DD70" s="853">
        <f>DD16+CQ70</f>
        <v>417152</v>
      </c>
      <c r="DE70" s="853">
        <f>DE16+CR70</f>
        <v>189484.12699999998</v>
      </c>
      <c r="DF70" s="853">
        <f>DF16+CS70</f>
        <v>1228.1333500000001</v>
      </c>
      <c r="DG70" s="785">
        <f>DG16+CT70</f>
        <v>1918.0836699999998</v>
      </c>
      <c r="DH70" s="853">
        <f>+DE70+DF70-DG70</f>
        <v>188794.17667999998</v>
      </c>
      <c r="DI70" s="818">
        <f t="shared" si="302"/>
        <v>0.99635879621726831</v>
      </c>
      <c r="DJ70" s="779">
        <f t="shared" si="303"/>
        <v>1.0122661461769829E-2</v>
      </c>
      <c r="DK70" s="781">
        <f>DD70-DE70</f>
        <v>227667.87300000002</v>
      </c>
      <c r="DL70" s="785">
        <f>DE70-DH70</f>
        <v>689.95032000000356</v>
      </c>
      <c r="DM70" s="777">
        <f>DD70-DH70</f>
        <v>228357.82332000002</v>
      </c>
      <c r="DN70" s="781"/>
      <c r="DO70" s="791"/>
      <c r="DP70" s="408" t="s">
        <v>51</v>
      </c>
      <c r="DQ70" s="853">
        <f>DQ16+DD70</f>
        <v>463896</v>
      </c>
      <c r="DR70" s="853">
        <f>DR16+DE70</f>
        <v>189484.12699999998</v>
      </c>
      <c r="DS70" s="853">
        <f>DS16+DF70</f>
        <v>1228.1333500000001</v>
      </c>
      <c r="DT70" s="785">
        <f>DT16+DG70</f>
        <v>1918.0836699999998</v>
      </c>
      <c r="DU70" s="853">
        <f>+DR70+DS70-DT70</f>
        <v>188794.17667999998</v>
      </c>
      <c r="DV70" s="818">
        <f t="shared" si="304"/>
        <v>0.99635879621726831</v>
      </c>
      <c r="DW70" s="779">
        <f t="shared" si="305"/>
        <v>1.0122661461769829E-2</v>
      </c>
      <c r="DX70" s="781">
        <f>DQ70-DR70</f>
        <v>274411.87300000002</v>
      </c>
      <c r="DY70" s="785">
        <f>DR70-DU70</f>
        <v>689.95032000000356</v>
      </c>
      <c r="DZ70" s="777">
        <f>DQ70-DU70</f>
        <v>275101.82332000002</v>
      </c>
      <c r="EA70" s="781"/>
      <c r="EB70" s="429"/>
      <c r="EC70" s="408" t="s">
        <v>51</v>
      </c>
      <c r="ED70" s="853">
        <f>ED16+DQ70</f>
        <v>509807</v>
      </c>
      <c r="EE70" s="853">
        <f>EE16+DR70</f>
        <v>189484.12699999998</v>
      </c>
      <c r="EF70" s="853">
        <f>EF16+DS70</f>
        <v>1228.1333500000001</v>
      </c>
      <c r="EG70" s="772">
        <f>EG16+DT70</f>
        <v>1918.0836699999998</v>
      </c>
      <c r="EH70" s="853">
        <f>+EE70+EF70-EG70</f>
        <v>188794.17667999998</v>
      </c>
      <c r="EI70" s="818">
        <f t="shared" si="306"/>
        <v>0.99635879621726831</v>
      </c>
      <c r="EJ70" s="779">
        <f t="shared" si="307"/>
        <v>1.0122661461769829E-2</v>
      </c>
      <c r="EK70" s="781">
        <f>ED70-EE70</f>
        <v>320322.87300000002</v>
      </c>
      <c r="EL70" s="785">
        <f>EE70-EH70</f>
        <v>689.95032000000356</v>
      </c>
      <c r="EM70" s="777">
        <f>ED70-EH70</f>
        <v>321012.82332000002</v>
      </c>
      <c r="EN70" s="781"/>
      <c r="EO70" s="792"/>
      <c r="EP70" s="408" t="s">
        <v>51</v>
      </c>
      <c r="EQ70" s="447">
        <f>EQ16+ED70</f>
        <v>556551</v>
      </c>
      <c r="ER70" s="853">
        <f>ER16+EE70</f>
        <v>189484.12699999998</v>
      </c>
      <c r="ES70" s="853">
        <f>ES16+EF70</f>
        <v>1228.1333500000001</v>
      </c>
      <c r="ET70" s="785">
        <f>ET16+EG70</f>
        <v>1918.0836699999998</v>
      </c>
      <c r="EU70" s="853">
        <f>+ER70+ES70-ET70</f>
        <v>188794.17667999998</v>
      </c>
      <c r="EV70" s="818">
        <f t="shared" si="308"/>
        <v>0.99635879621726831</v>
      </c>
      <c r="EW70" s="779">
        <f t="shared" si="309"/>
        <v>1.0122661461769829E-2</v>
      </c>
      <c r="EX70" s="781">
        <f>EQ70-ER70</f>
        <v>367066.87300000002</v>
      </c>
      <c r="EY70" s="785">
        <f>ER70-EU70</f>
        <v>689.95032000000356</v>
      </c>
      <c r="EZ70" s="777">
        <f>EQ70-EU70</f>
        <v>367756.82332000002</v>
      </c>
      <c r="FA70" s="776"/>
      <c r="FB70" s="776"/>
      <c r="FC70" s="776"/>
      <c r="FD70" s="776"/>
      <c r="FE70" s="776"/>
      <c r="FF70" s="776"/>
      <c r="FG70" s="776"/>
      <c r="FH70" s="776"/>
      <c r="FI70" s="776"/>
    </row>
    <row r="71" spans="1:165" s="208" customFormat="1" ht="15" customHeight="1">
      <c r="A71" s="785"/>
      <c r="B71" s="447"/>
      <c r="C71" s="455"/>
      <c r="D71" s="447"/>
      <c r="E71" s="447"/>
      <c r="F71" s="447"/>
      <c r="G71" s="214"/>
      <c r="H71" s="399"/>
      <c r="I71" s="779"/>
      <c r="J71" s="779"/>
      <c r="K71" s="770"/>
      <c r="L71" s="772"/>
      <c r="M71" s="780"/>
      <c r="N71" s="781"/>
      <c r="O71" s="793"/>
      <c r="P71" s="408"/>
      <c r="Q71" s="447"/>
      <c r="R71" s="447"/>
      <c r="S71" s="447"/>
      <c r="T71" s="772"/>
      <c r="U71" s="853"/>
      <c r="V71" s="779"/>
      <c r="W71" s="779"/>
      <c r="X71" s="770"/>
      <c r="Y71" s="772"/>
      <c r="Z71" s="780"/>
      <c r="AA71" s="781"/>
      <c r="AB71" s="783"/>
      <c r="AC71" s="408"/>
      <c r="AD71" s="447"/>
      <c r="AE71" s="447"/>
      <c r="AF71" s="447"/>
      <c r="AG71" s="772"/>
      <c r="AH71" s="853"/>
      <c r="AI71" s="779"/>
      <c r="AJ71" s="779"/>
      <c r="AK71" s="770"/>
      <c r="AL71" s="772"/>
      <c r="AM71" s="780"/>
      <c r="AN71" s="781"/>
      <c r="AO71" s="784"/>
      <c r="AP71" s="408"/>
      <c r="AQ71" s="447"/>
      <c r="AR71" s="853"/>
      <c r="AS71" s="853"/>
      <c r="AT71" s="785"/>
      <c r="AU71" s="853"/>
      <c r="AV71" s="818"/>
      <c r="AW71" s="779"/>
      <c r="AX71" s="770"/>
      <c r="AY71" s="772"/>
      <c r="AZ71" s="780"/>
      <c r="BA71" s="781"/>
      <c r="BB71" s="786"/>
      <c r="BC71" s="408"/>
      <c r="BD71" s="447"/>
      <c r="BE71" s="853"/>
      <c r="BF71" s="853"/>
      <c r="BG71" s="785"/>
      <c r="BH71" s="853"/>
      <c r="BI71" s="818"/>
      <c r="BJ71" s="779"/>
      <c r="BK71" s="770"/>
      <c r="BL71" s="772"/>
      <c r="BM71" s="780"/>
      <c r="BN71" s="781"/>
      <c r="BO71" s="787"/>
      <c r="BP71" s="408"/>
      <c r="BQ71" s="447"/>
      <c r="BR71" s="853"/>
      <c r="BS71" s="853"/>
      <c r="BT71" s="785"/>
      <c r="BU71" s="853"/>
      <c r="BV71" s="818"/>
      <c r="BW71" s="779"/>
      <c r="BX71" s="770"/>
      <c r="BY71" s="772"/>
      <c r="BZ71" s="780"/>
      <c r="CA71" s="781"/>
      <c r="CB71" s="794"/>
      <c r="CC71" s="408"/>
      <c r="CD71" s="853"/>
      <c r="CE71" s="853"/>
      <c r="CF71" s="853"/>
      <c r="CG71" s="785"/>
      <c r="CH71" s="853"/>
      <c r="CI71" s="818"/>
      <c r="CJ71" s="779"/>
      <c r="CK71" s="781"/>
      <c r="CL71" s="785"/>
      <c r="CM71" s="777"/>
      <c r="CN71" s="781"/>
      <c r="CO71" s="789"/>
      <c r="CP71" s="408"/>
      <c r="CQ71" s="853"/>
      <c r="CR71" s="853"/>
      <c r="CS71" s="853"/>
      <c r="CT71" s="785"/>
      <c r="CU71" s="853"/>
      <c r="CV71" s="818"/>
      <c r="CW71" s="779"/>
      <c r="CX71" s="781"/>
      <c r="CY71" s="785"/>
      <c r="CZ71" s="777"/>
      <c r="DA71" s="781"/>
      <c r="DB71" s="790"/>
      <c r="DC71" s="408"/>
      <c r="DD71" s="853"/>
      <c r="DE71" s="853"/>
      <c r="DF71" s="853"/>
      <c r="DG71" s="785"/>
      <c r="DH71" s="853"/>
      <c r="DI71" s="818"/>
      <c r="DJ71" s="779"/>
      <c r="DK71" s="781"/>
      <c r="DL71" s="785"/>
      <c r="DM71" s="777"/>
      <c r="DN71" s="781"/>
      <c r="DO71" s="791"/>
      <c r="DP71" s="408"/>
      <c r="DQ71" s="853"/>
      <c r="DR71" s="853"/>
      <c r="DS71" s="853"/>
      <c r="DT71" s="785"/>
      <c r="DU71" s="853"/>
      <c r="DV71" s="818"/>
      <c r="DW71" s="779"/>
      <c r="DX71" s="781"/>
      <c r="DY71" s="785"/>
      <c r="DZ71" s="777"/>
      <c r="EA71" s="781"/>
      <c r="EB71" s="429"/>
      <c r="EC71" s="408"/>
      <c r="ED71" s="853"/>
      <c r="EE71" s="853"/>
      <c r="EF71" s="853"/>
      <c r="EG71" s="772"/>
      <c r="EH71" s="853"/>
      <c r="EI71" s="818"/>
      <c r="EJ71" s="779"/>
      <c r="EK71" s="781"/>
      <c r="EL71" s="785"/>
      <c r="EM71" s="777"/>
      <c r="EN71" s="781"/>
      <c r="EO71" s="792"/>
      <c r="EP71" s="408"/>
      <c r="EQ71" s="447"/>
      <c r="ER71" s="853"/>
      <c r="ES71" s="853"/>
      <c r="ET71" s="785"/>
      <c r="EU71" s="853"/>
      <c r="EV71" s="818"/>
      <c r="EW71" s="779"/>
      <c r="EX71" s="781"/>
      <c r="EY71" s="785"/>
      <c r="EZ71" s="777"/>
      <c r="FA71" s="776"/>
      <c r="FB71" s="776"/>
      <c r="FC71" s="776"/>
      <c r="FD71" s="776"/>
      <c r="FE71" s="776"/>
      <c r="FF71" s="776"/>
      <c r="FG71" s="776"/>
      <c r="FH71" s="776"/>
      <c r="FI71" s="776"/>
    </row>
    <row r="72" spans="1:165" s="208" customFormat="1" ht="15" customHeight="1">
      <c r="A72" s="785"/>
      <c r="B72" s="447"/>
      <c r="C72" s="455" t="s">
        <v>52</v>
      </c>
      <c r="D72" s="447">
        <f>D18</f>
        <v>60169</v>
      </c>
      <c r="E72" s="852">
        <f>E18</f>
        <v>58959.8</v>
      </c>
      <c r="F72" s="852">
        <f>F18</f>
        <v>223.73339000000001</v>
      </c>
      <c r="G72" s="214">
        <f>G18</f>
        <v>612.53333333333319</v>
      </c>
      <c r="H72" s="399">
        <f>+E72+F72-G72</f>
        <v>58571.000056666671</v>
      </c>
      <c r="I72" s="779">
        <f>IF(E72=0,"-",H72/E72)</f>
        <v>0.99340567737113539</v>
      </c>
      <c r="J72" s="779">
        <f>IF(ISERROR(G72/E72),"",G72/E72)</f>
        <v>1.0388999510400869E-2</v>
      </c>
      <c r="K72" s="770">
        <f>D72-E72</f>
        <v>1209.1999999999971</v>
      </c>
      <c r="L72" s="772">
        <f>E72-H72</f>
        <v>388.79994333333161</v>
      </c>
      <c r="M72" s="780">
        <f>D72-H72</f>
        <v>1597.9999433333287</v>
      </c>
      <c r="N72" s="781"/>
      <c r="O72" s="793"/>
      <c r="P72" s="408" t="s">
        <v>52</v>
      </c>
      <c r="Q72" s="447">
        <f>Q18+D72</f>
        <v>120526</v>
      </c>
      <c r="R72" s="447">
        <f>R18+E72</f>
        <v>118020.18</v>
      </c>
      <c r="S72" s="447">
        <f>S18+F72</f>
        <v>492.90017999999998</v>
      </c>
      <c r="T72" s="772">
        <f>T18+G72</f>
        <v>1332.7333333333331</v>
      </c>
      <c r="U72" s="853">
        <f>+R72+S72-T72</f>
        <v>117180.34684666665</v>
      </c>
      <c r="V72" s="779">
        <f>IF(R72=0,"-",U72/R72)</f>
        <v>0.99288398684586532</v>
      </c>
      <c r="W72" s="779">
        <f t="shared" si="288"/>
        <v>1.1292419087424991E-2</v>
      </c>
      <c r="X72" s="770">
        <f t="shared" si="289"/>
        <v>2505.820000000007</v>
      </c>
      <c r="Y72" s="772">
        <f t="shared" si="290"/>
        <v>839.83315333334031</v>
      </c>
      <c r="Z72" s="780">
        <f t="shared" si="291"/>
        <v>3345.6531533333473</v>
      </c>
      <c r="AA72" s="781"/>
      <c r="AB72" s="783"/>
      <c r="AC72" s="408" t="s">
        <v>52</v>
      </c>
      <c r="AD72" s="447">
        <f>AD18+Q72</f>
        <v>177297</v>
      </c>
      <c r="AE72" s="447">
        <f>AE18+R72</f>
        <v>173657.56</v>
      </c>
      <c r="AF72" s="447">
        <f>AF18+S72</f>
        <v>877.61671999999999</v>
      </c>
      <c r="AG72" s="772">
        <f>AG18+T72</f>
        <v>2080.8666666666668</v>
      </c>
      <c r="AH72" s="853">
        <f>+AE72+AF72-AG72</f>
        <v>172454.31005333332</v>
      </c>
      <c r="AI72" s="779">
        <f>IF(AE72=0,"-",AH72/AE72)</f>
        <v>0.99307113409478587</v>
      </c>
      <c r="AJ72" s="779">
        <f t="shared" si="292"/>
        <v>1.1982586111809166E-2</v>
      </c>
      <c r="AK72" s="770">
        <f>AD72-AE72</f>
        <v>3639.4400000000023</v>
      </c>
      <c r="AL72" s="772">
        <f>AE72-AH72</f>
        <v>1203.2499466666777</v>
      </c>
      <c r="AM72" s="780">
        <f>AD72-AH72</f>
        <v>4842.68994666668</v>
      </c>
      <c r="AN72" s="781"/>
      <c r="AO72" s="784"/>
      <c r="AP72" s="408" t="s">
        <v>52</v>
      </c>
      <c r="AQ72" s="447">
        <f>AQ18+AD72</f>
        <v>236318</v>
      </c>
      <c r="AR72" s="853">
        <f>AR18+AE72</f>
        <v>233875.33</v>
      </c>
      <c r="AS72" s="853">
        <f>AS18+AF72</f>
        <v>1231.0165200000001</v>
      </c>
      <c r="AT72" s="785">
        <f>AT18+AG72</f>
        <v>2774.4333296666669</v>
      </c>
      <c r="AU72" s="853">
        <f>+AR72+AS72-AT72</f>
        <v>232331.91319033332</v>
      </c>
      <c r="AV72" s="818">
        <f>IF(AR72=0,"-",AU72/AR72)</f>
        <v>0.99340068570008355</v>
      </c>
      <c r="AW72" s="779">
        <f t="shared" si="293"/>
        <v>1.1862872965980067E-2</v>
      </c>
      <c r="AX72" s="770">
        <f>AQ72-AR72</f>
        <v>2442.6700000000128</v>
      </c>
      <c r="AY72" s="772">
        <f>AR72-AU72</f>
        <v>1543.416809666669</v>
      </c>
      <c r="AZ72" s="780">
        <f>AQ72-AU72</f>
        <v>3986.0868096666818</v>
      </c>
      <c r="BA72" s="781"/>
      <c r="BB72" s="786"/>
      <c r="BC72" s="408" t="s">
        <v>52</v>
      </c>
      <c r="BD72" s="447">
        <f>BD18+AQ72</f>
        <v>293276</v>
      </c>
      <c r="BE72" s="853">
        <f>BE18+AR72</f>
        <v>233875.33</v>
      </c>
      <c r="BF72" s="853">
        <f>BF18+AS72</f>
        <v>1231.0165200000001</v>
      </c>
      <c r="BG72" s="785">
        <f>BG18+AT72</f>
        <v>2774.4333296666669</v>
      </c>
      <c r="BH72" s="853">
        <f>+BE72+BF72-BG72</f>
        <v>232331.91319033332</v>
      </c>
      <c r="BI72" s="818">
        <f t="shared" si="294"/>
        <v>0.99340068570008355</v>
      </c>
      <c r="BJ72" s="779">
        <f t="shared" si="295"/>
        <v>1.1862872965980067E-2</v>
      </c>
      <c r="BK72" s="770">
        <f>BD72-BE72</f>
        <v>59400.670000000013</v>
      </c>
      <c r="BL72" s="772">
        <f>BE72-BH72</f>
        <v>1543.416809666669</v>
      </c>
      <c r="BM72" s="780">
        <f>BD72-BH72</f>
        <v>60944.086809666682</v>
      </c>
      <c r="BN72" s="781"/>
      <c r="BO72" s="787"/>
      <c r="BP72" s="408" t="s">
        <v>52</v>
      </c>
      <c r="BQ72" s="447">
        <f>BQ18+BD72</f>
        <v>352297</v>
      </c>
      <c r="BR72" s="853">
        <f>BR18+BE72</f>
        <v>233875.33</v>
      </c>
      <c r="BS72" s="853">
        <f>BS18+BF72</f>
        <v>1231.0165200000001</v>
      </c>
      <c r="BT72" s="785">
        <f>BT18+BG72</f>
        <v>2774.4333296666669</v>
      </c>
      <c r="BU72" s="853">
        <f>+BR72+BS72-BT72</f>
        <v>232331.91319033332</v>
      </c>
      <c r="BV72" s="818">
        <f t="shared" si="296"/>
        <v>0.99340068570008355</v>
      </c>
      <c r="BW72" s="779">
        <f t="shared" si="297"/>
        <v>1.1862872965980067E-2</v>
      </c>
      <c r="BX72" s="770">
        <f>BQ72-BR72</f>
        <v>118421.67000000001</v>
      </c>
      <c r="BY72" s="772">
        <f>BR72-BU72</f>
        <v>1543.416809666669</v>
      </c>
      <c r="BZ72" s="780">
        <f>BQ72-BU72</f>
        <v>119965.08680966668</v>
      </c>
      <c r="CA72" s="781"/>
      <c r="CB72" s="794"/>
      <c r="CC72" s="408" t="s">
        <v>52</v>
      </c>
      <c r="CD72" s="853">
        <f>CD18+BQ72</f>
        <v>411318</v>
      </c>
      <c r="CE72" s="853">
        <f>CE18+BR72</f>
        <v>233875.33</v>
      </c>
      <c r="CF72" s="853">
        <f>CF18+BS72</f>
        <v>1231.0165200000001</v>
      </c>
      <c r="CG72" s="785">
        <f>CG18+BT72</f>
        <v>2774.4333296666669</v>
      </c>
      <c r="CH72" s="853">
        <f>+CE72+CF72-CG72</f>
        <v>232331.91319033332</v>
      </c>
      <c r="CI72" s="818">
        <f t="shared" si="298"/>
        <v>0.99340068570008355</v>
      </c>
      <c r="CJ72" s="779">
        <f t="shared" si="299"/>
        <v>1.1862872965980067E-2</v>
      </c>
      <c r="CK72" s="781">
        <f>CD72-CE72</f>
        <v>177442.67</v>
      </c>
      <c r="CL72" s="785">
        <f>CE72-CH72</f>
        <v>1543.416809666669</v>
      </c>
      <c r="CM72" s="777">
        <f>CD72-CH72</f>
        <v>178986.08680966668</v>
      </c>
      <c r="CN72" s="781"/>
      <c r="CO72" s="789"/>
      <c r="CP72" s="408" t="s">
        <v>52</v>
      </c>
      <c r="CQ72" s="853">
        <f>CQ18+CD72</f>
        <v>467174</v>
      </c>
      <c r="CR72" s="853">
        <f>CR18+CE72</f>
        <v>233875.33</v>
      </c>
      <c r="CS72" s="853">
        <f>CS18+CF72</f>
        <v>1231.0165200000001</v>
      </c>
      <c r="CT72" s="785">
        <f>CT18+CG72</f>
        <v>2774.4333296666669</v>
      </c>
      <c r="CU72" s="853">
        <f>+CR72+CS72-CT72</f>
        <v>232331.91319033332</v>
      </c>
      <c r="CV72" s="818">
        <f t="shared" si="300"/>
        <v>0.99340068570008355</v>
      </c>
      <c r="CW72" s="779">
        <f t="shared" si="301"/>
        <v>1.1862872965980067E-2</v>
      </c>
      <c r="CX72" s="781">
        <f>CQ72-CR72</f>
        <v>233298.67</v>
      </c>
      <c r="CY72" s="785">
        <f>CR72-CU72</f>
        <v>1543.416809666669</v>
      </c>
      <c r="CZ72" s="777">
        <f>CQ72-CU72</f>
        <v>234842.08680966668</v>
      </c>
      <c r="DA72" s="781"/>
      <c r="DB72" s="790"/>
      <c r="DC72" s="408" t="s">
        <v>52</v>
      </c>
      <c r="DD72" s="853">
        <f>DD18+CQ72</f>
        <v>527343</v>
      </c>
      <c r="DE72" s="853">
        <f>DE18+CR72</f>
        <v>233875.33</v>
      </c>
      <c r="DF72" s="853">
        <f>DF18+CS72</f>
        <v>1231.0165200000001</v>
      </c>
      <c r="DG72" s="785">
        <f>DG18+CT72</f>
        <v>2774.4333296666669</v>
      </c>
      <c r="DH72" s="853">
        <f>+DE72+DF72-DG72</f>
        <v>232331.91319033332</v>
      </c>
      <c r="DI72" s="818">
        <f t="shared" si="302"/>
        <v>0.99340068570008355</v>
      </c>
      <c r="DJ72" s="779">
        <f t="shared" si="303"/>
        <v>1.1862872965980067E-2</v>
      </c>
      <c r="DK72" s="781">
        <f>DD72-DE72</f>
        <v>293467.67000000004</v>
      </c>
      <c r="DL72" s="785">
        <f>DE72-DH72</f>
        <v>1543.416809666669</v>
      </c>
      <c r="DM72" s="777">
        <f>DD72-DH72</f>
        <v>295011.08680966671</v>
      </c>
      <c r="DN72" s="781"/>
      <c r="DO72" s="791"/>
      <c r="DP72" s="408" t="s">
        <v>52</v>
      </c>
      <c r="DQ72" s="853">
        <f>DQ18+DD72</f>
        <v>586411</v>
      </c>
      <c r="DR72" s="853">
        <f>DR18+DE72</f>
        <v>233875.33</v>
      </c>
      <c r="DS72" s="853">
        <f>DS18+DF72</f>
        <v>1231.0165200000001</v>
      </c>
      <c r="DT72" s="785">
        <f>DT18+DG72</f>
        <v>2774.4333296666669</v>
      </c>
      <c r="DU72" s="853">
        <f>+DR72+DS72-DT72</f>
        <v>232331.91319033332</v>
      </c>
      <c r="DV72" s="818">
        <f t="shared" si="304"/>
        <v>0.99340068570008355</v>
      </c>
      <c r="DW72" s="779">
        <f t="shared" si="305"/>
        <v>1.1862872965980067E-2</v>
      </c>
      <c r="DX72" s="781">
        <f>DQ72-DR72</f>
        <v>352535.67000000004</v>
      </c>
      <c r="DY72" s="785">
        <f>DR72-DU72</f>
        <v>1543.416809666669</v>
      </c>
      <c r="DZ72" s="777">
        <f>DQ72-DU72</f>
        <v>354079.08680966671</v>
      </c>
      <c r="EA72" s="781"/>
      <c r="EB72" s="429"/>
      <c r="EC72" s="408" t="s">
        <v>52</v>
      </c>
      <c r="ED72" s="853">
        <f>ED18+DQ72</f>
        <v>644471</v>
      </c>
      <c r="EE72" s="853">
        <f>EE18+DR72</f>
        <v>233875.33</v>
      </c>
      <c r="EF72" s="853">
        <f>EF18+DS72</f>
        <v>1231.0165200000001</v>
      </c>
      <c r="EG72" s="772">
        <f>EG18+DT72</f>
        <v>2774.4333296666669</v>
      </c>
      <c r="EH72" s="853">
        <f>+EE72+EF72-EG72</f>
        <v>232331.91319033332</v>
      </c>
      <c r="EI72" s="818">
        <f t="shared" si="306"/>
        <v>0.99340068570008355</v>
      </c>
      <c r="EJ72" s="779">
        <f t="shared" si="307"/>
        <v>1.1862872965980067E-2</v>
      </c>
      <c r="EK72" s="781">
        <f>ED72-EE72</f>
        <v>410595.67000000004</v>
      </c>
      <c r="EL72" s="785">
        <f>EE72-EH72</f>
        <v>1543.416809666669</v>
      </c>
      <c r="EM72" s="777">
        <f>ED72-EH72</f>
        <v>412139.08680966671</v>
      </c>
      <c r="EN72" s="781"/>
      <c r="EO72" s="792"/>
      <c r="EP72" s="408" t="s">
        <v>52</v>
      </c>
      <c r="EQ72" s="447">
        <f>EQ18+ED72</f>
        <v>703539</v>
      </c>
      <c r="ER72" s="853">
        <f>ER18+EE72</f>
        <v>233875.33</v>
      </c>
      <c r="ES72" s="853">
        <f>ES18+EF72</f>
        <v>1231.0165200000001</v>
      </c>
      <c r="ET72" s="785">
        <f>ET18+EG72</f>
        <v>2774.4333296666669</v>
      </c>
      <c r="EU72" s="853">
        <f>+ER72+ES72-ET72</f>
        <v>232331.91319033332</v>
      </c>
      <c r="EV72" s="818">
        <f t="shared" si="308"/>
        <v>0.99340068570008355</v>
      </c>
      <c r="EW72" s="779">
        <f t="shared" si="309"/>
        <v>1.1862872965980067E-2</v>
      </c>
      <c r="EX72" s="781">
        <f>EQ72-ER72</f>
        <v>469663.67000000004</v>
      </c>
      <c r="EY72" s="785">
        <f>ER72-EU72</f>
        <v>1543.416809666669</v>
      </c>
      <c r="EZ72" s="777">
        <f>EQ72-EU72</f>
        <v>471207.08680966671</v>
      </c>
      <c r="FA72" s="776"/>
      <c r="FB72" s="776"/>
      <c r="FC72" s="776"/>
      <c r="FD72" s="776"/>
      <c r="FE72" s="776"/>
      <c r="FF72" s="776"/>
      <c r="FG72" s="776"/>
      <c r="FH72" s="776"/>
      <c r="FI72" s="776"/>
    </row>
    <row r="73" spans="1:165" s="208" customFormat="1" ht="15" customHeight="1">
      <c r="A73" s="785"/>
      <c r="B73" s="447"/>
      <c r="C73" s="455"/>
      <c r="D73" s="447"/>
      <c r="E73" s="852"/>
      <c r="F73" s="852"/>
      <c r="G73" s="214"/>
      <c r="H73" s="399"/>
      <c r="I73" s="779"/>
      <c r="J73" s="779"/>
      <c r="K73" s="770"/>
      <c r="L73" s="772"/>
      <c r="M73" s="780"/>
      <c r="N73" s="781"/>
      <c r="O73" s="793"/>
      <c r="P73" s="408"/>
      <c r="Q73" s="447"/>
      <c r="R73" s="447"/>
      <c r="S73" s="447"/>
      <c r="T73" s="772"/>
      <c r="U73" s="853"/>
      <c r="V73" s="779"/>
      <c r="W73" s="779"/>
      <c r="X73" s="770"/>
      <c r="Y73" s="772"/>
      <c r="Z73" s="780"/>
      <c r="AA73" s="781"/>
      <c r="AB73" s="783"/>
      <c r="AC73" s="408"/>
      <c r="AD73" s="447"/>
      <c r="AE73" s="447"/>
      <c r="AF73" s="447"/>
      <c r="AG73" s="772"/>
      <c r="AH73" s="853"/>
      <c r="AI73" s="779"/>
      <c r="AJ73" s="779"/>
      <c r="AK73" s="770"/>
      <c r="AL73" s="772"/>
      <c r="AM73" s="780"/>
      <c r="AN73" s="781"/>
      <c r="AO73" s="784"/>
      <c r="AP73" s="408"/>
      <c r="AQ73" s="447"/>
      <c r="AR73" s="853"/>
      <c r="AS73" s="853"/>
      <c r="AT73" s="785"/>
      <c r="AU73" s="853"/>
      <c r="AV73" s="818"/>
      <c r="AW73" s="779"/>
      <c r="AX73" s="770"/>
      <c r="AY73" s="772"/>
      <c r="AZ73" s="780"/>
      <c r="BA73" s="781"/>
      <c r="BB73" s="786"/>
      <c r="BC73" s="408"/>
      <c r="BD73" s="447"/>
      <c r="BE73" s="853"/>
      <c r="BF73" s="853"/>
      <c r="BG73" s="785"/>
      <c r="BH73" s="853"/>
      <c r="BI73" s="818"/>
      <c r="BJ73" s="779"/>
      <c r="BK73" s="770"/>
      <c r="BL73" s="772"/>
      <c r="BM73" s="780"/>
      <c r="BN73" s="781"/>
      <c r="BO73" s="787"/>
      <c r="BP73" s="408"/>
      <c r="BQ73" s="447"/>
      <c r="BR73" s="853"/>
      <c r="BS73" s="853"/>
      <c r="BT73" s="785"/>
      <c r="BU73" s="853"/>
      <c r="BV73" s="818"/>
      <c r="BW73" s="779"/>
      <c r="BX73" s="770"/>
      <c r="BY73" s="772"/>
      <c r="BZ73" s="780"/>
      <c r="CA73" s="781"/>
      <c r="CB73" s="794"/>
      <c r="CC73" s="408"/>
      <c r="CD73" s="853"/>
      <c r="CE73" s="853"/>
      <c r="CF73" s="853"/>
      <c r="CG73" s="785"/>
      <c r="CH73" s="853"/>
      <c r="CI73" s="818"/>
      <c r="CJ73" s="779"/>
      <c r="CK73" s="781"/>
      <c r="CL73" s="785"/>
      <c r="CM73" s="777"/>
      <c r="CN73" s="781"/>
      <c r="CO73" s="789"/>
      <c r="CP73" s="408"/>
      <c r="CQ73" s="853"/>
      <c r="CR73" s="853"/>
      <c r="CS73" s="853"/>
      <c r="CT73" s="785"/>
      <c r="CU73" s="853"/>
      <c r="CV73" s="818"/>
      <c r="CW73" s="779"/>
      <c r="CX73" s="781"/>
      <c r="CY73" s="785"/>
      <c r="CZ73" s="777"/>
      <c r="DA73" s="781"/>
      <c r="DB73" s="790"/>
      <c r="DC73" s="408"/>
      <c r="DD73" s="853"/>
      <c r="DE73" s="853"/>
      <c r="DF73" s="853"/>
      <c r="DG73" s="785"/>
      <c r="DH73" s="853"/>
      <c r="DI73" s="818"/>
      <c r="DJ73" s="779"/>
      <c r="DK73" s="781"/>
      <c r="DL73" s="785"/>
      <c r="DM73" s="777"/>
      <c r="DN73" s="781"/>
      <c r="DO73" s="791"/>
      <c r="DP73" s="408"/>
      <c r="DQ73" s="853"/>
      <c r="DR73" s="853"/>
      <c r="DS73" s="853"/>
      <c r="DT73" s="785"/>
      <c r="DU73" s="853"/>
      <c r="DV73" s="818"/>
      <c r="DW73" s="779"/>
      <c r="DX73" s="781"/>
      <c r="DY73" s="785"/>
      <c r="DZ73" s="777"/>
      <c r="EA73" s="781"/>
      <c r="EB73" s="429"/>
      <c r="EC73" s="408"/>
      <c r="ED73" s="853"/>
      <c r="EE73" s="853"/>
      <c r="EF73" s="853"/>
      <c r="EG73" s="772"/>
      <c r="EH73" s="853"/>
      <c r="EI73" s="818"/>
      <c r="EJ73" s="779"/>
      <c r="EK73" s="781"/>
      <c r="EL73" s="785"/>
      <c r="EM73" s="777"/>
      <c r="EN73" s="781"/>
      <c r="EO73" s="792"/>
      <c r="EP73" s="408"/>
      <c r="EQ73" s="447"/>
      <c r="ER73" s="853"/>
      <c r="ES73" s="853"/>
      <c r="ET73" s="785"/>
      <c r="EU73" s="853"/>
      <c r="EV73" s="818"/>
      <c r="EW73" s="779"/>
      <c r="EX73" s="781"/>
      <c r="EY73" s="785"/>
      <c r="EZ73" s="777"/>
      <c r="FA73" s="776"/>
      <c r="FB73" s="776"/>
      <c r="FC73" s="776"/>
      <c r="FD73" s="776"/>
      <c r="FE73" s="776"/>
      <c r="FF73" s="776"/>
      <c r="FG73" s="776"/>
      <c r="FH73" s="776"/>
      <c r="FI73" s="776"/>
    </row>
    <row r="74" spans="1:165" s="208" customFormat="1" ht="15" customHeight="1">
      <c r="A74" s="785"/>
      <c r="B74" s="447"/>
      <c r="C74" s="455" t="s">
        <v>53</v>
      </c>
      <c r="D74" s="447">
        <f>D20</f>
        <v>36475</v>
      </c>
      <c r="E74" s="447">
        <f>E20</f>
        <v>39982.615999999995</v>
      </c>
      <c r="F74" s="447">
        <f>F20</f>
        <v>409.00016000000005</v>
      </c>
      <c r="G74" s="214">
        <f>G20</f>
        <v>732.61666666666679</v>
      </c>
      <c r="H74" s="399">
        <f>+E74+F74-G74</f>
        <v>39658.999493333329</v>
      </c>
      <c r="I74" s="779">
        <f>IF(E74=0,"-",H74/E74)</f>
        <v>0.99190606971122985</v>
      </c>
      <c r="J74" s="779">
        <f>IF(ISERROR(G74/E74),"",G74/E74)</f>
        <v>1.8323380007617983E-2</v>
      </c>
      <c r="K74" s="770">
        <f>D74-E74</f>
        <v>-3507.6159999999945</v>
      </c>
      <c r="L74" s="772">
        <f>E74-H74</f>
        <v>323.61650666666537</v>
      </c>
      <c r="M74" s="780">
        <f>D74-H74</f>
        <v>-3183.9994933333292</v>
      </c>
      <c r="N74" s="781"/>
      <c r="O74" s="793"/>
      <c r="P74" s="408" t="s">
        <v>53</v>
      </c>
      <c r="Q74" s="447">
        <f>Q20+D74</f>
        <v>73012</v>
      </c>
      <c r="R74" s="447">
        <f>R20+E74</f>
        <v>79671.505999999994</v>
      </c>
      <c r="S74" s="447">
        <f>S20+F74</f>
        <v>922.93339700000001</v>
      </c>
      <c r="T74" s="772">
        <f>T20+G74</f>
        <v>1655.2500000000002</v>
      </c>
      <c r="U74" s="853">
        <f>+R74+S74-T74</f>
        <v>78939.189396999995</v>
      </c>
      <c r="V74" s="779">
        <f>IF(R74=0,"-",U74/R74)</f>
        <v>0.99080829973265472</v>
      </c>
      <c r="W74" s="779">
        <f t="shared" si="288"/>
        <v>2.0775934623352046E-2</v>
      </c>
      <c r="X74" s="770">
        <f t="shared" si="289"/>
        <v>-6659.5059999999939</v>
      </c>
      <c r="Y74" s="772">
        <f t="shared" si="290"/>
        <v>732.3166029999993</v>
      </c>
      <c r="Z74" s="780">
        <f t="shared" si="291"/>
        <v>-5927.1893969999946</v>
      </c>
      <c r="AA74" s="781"/>
      <c r="AB74" s="783"/>
      <c r="AC74" s="408" t="s">
        <v>53</v>
      </c>
      <c r="AD74" s="447">
        <f>AD20+Q74</f>
        <v>106522</v>
      </c>
      <c r="AE74" s="447">
        <f>AE20+R74</f>
        <v>116506.69699999999</v>
      </c>
      <c r="AF74" s="447">
        <f>AF20+S74</f>
        <v>1422.433264</v>
      </c>
      <c r="AG74" s="772">
        <f>AG20+T74</f>
        <v>2726.8333333333335</v>
      </c>
      <c r="AH74" s="853">
        <f>+AE74+AF74-AG74</f>
        <v>115202.29693066666</v>
      </c>
      <c r="AI74" s="779">
        <f>IF(AE74=0,"-",AH74/AE74)</f>
        <v>0.9888040764786824</v>
      </c>
      <c r="AJ74" s="779">
        <f t="shared" si="292"/>
        <v>2.3404949273717147E-2</v>
      </c>
      <c r="AK74" s="770">
        <f>AD74-AE74</f>
        <v>-9984.6969999999856</v>
      </c>
      <c r="AL74" s="772">
        <f>AE74-AH74</f>
        <v>1304.4000693333219</v>
      </c>
      <c r="AM74" s="780">
        <f>AD74-AH74</f>
        <v>-8680.2969306666637</v>
      </c>
      <c r="AN74" s="781"/>
      <c r="AO74" s="784"/>
      <c r="AP74" s="408" t="s">
        <v>53</v>
      </c>
      <c r="AQ74" s="447">
        <f>AQ20+AD74</f>
        <v>141605</v>
      </c>
      <c r="AR74" s="853">
        <f>AR20+AE74</f>
        <v>156642.66700000002</v>
      </c>
      <c r="AS74" s="853">
        <f>AS20+AF74</f>
        <v>1940.899944</v>
      </c>
      <c r="AT74" s="785">
        <f>AT20+AG74</f>
        <v>4034.2337333333335</v>
      </c>
      <c r="AU74" s="853">
        <f>+AR74+AS74-AT74</f>
        <v>154549.33321066669</v>
      </c>
      <c r="AV74" s="818">
        <f>IF(AR74=0,"-",AU74/AR74)</f>
        <v>0.98663624777702919</v>
      </c>
      <c r="AW74" s="779">
        <f t="shared" si="293"/>
        <v>2.5754373381125673E-2</v>
      </c>
      <c r="AX74" s="770">
        <f>AQ74-AR74</f>
        <v>-15037.667000000016</v>
      </c>
      <c r="AY74" s="772">
        <f>AR74-AU74</f>
        <v>2093.3337893333228</v>
      </c>
      <c r="AZ74" s="780">
        <f>AQ74-AU74</f>
        <v>-12944.333210666693</v>
      </c>
      <c r="BA74" s="781"/>
      <c r="BB74" s="786"/>
      <c r="BC74" s="408" t="s">
        <v>53</v>
      </c>
      <c r="BD74" s="447">
        <f>BD20+AQ74</f>
        <v>175176</v>
      </c>
      <c r="BE74" s="853">
        <f>BE20+AR74</f>
        <v>156642.66700000002</v>
      </c>
      <c r="BF74" s="853">
        <f>BF20+AS74</f>
        <v>1940.899944</v>
      </c>
      <c r="BG74" s="785">
        <f>BG20+AT74</f>
        <v>4034.2337333333335</v>
      </c>
      <c r="BH74" s="853">
        <f>+BE74+BF74-BG74</f>
        <v>154549.33321066669</v>
      </c>
      <c r="BI74" s="818">
        <f t="shared" si="294"/>
        <v>0.98663624777702919</v>
      </c>
      <c r="BJ74" s="779">
        <f t="shared" si="295"/>
        <v>2.5754373381125673E-2</v>
      </c>
      <c r="BK74" s="770">
        <f>BD74-BE74</f>
        <v>18533.332999999984</v>
      </c>
      <c r="BL74" s="772">
        <f>BE74-BH74</f>
        <v>2093.3337893333228</v>
      </c>
      <c r="BM74" s="780">
        <f>BD74-BH74</f>
        <v>20626.666789333307</v>
      </c>
      <c r="BN74" s="781"/>
      <c r="BO74" s="787"/>
      <c r="BP74" s="408" t="s">
        <v>53</v>
      </c>
      <c r="BQ74" s="447">
        <f>BQ20+BD74</f>
        <v>210259</v>
      </c>
      <c r="BR74" s="853">
        <f>BR20+BE74</f>
        <v>156642.66700000002</v>
      </c>
      <c r="BS74" s="853">
        <f>BS20+BF74</f>
        <v>1940.899944</v>
      </c>
      <c r="BT74" s="785">
        <f>BT20+BG74</f>
        <v>4034.2337333333335</v>
      </c>
      <c r="BU74" s="853">
        <f>+BR74+BS74-BT74</f>
        <v>154549.33321066669</v>
      </c>
      <c r="BV74" s="818">
        <f t="shared" si="296"/>
        <v>0.98663624777702919</v>
      </c>
      <c r="BW74" s="779">
        <f t="shared" si="297"/>
        <v>2.5754373381125673E-2</v>
      </c>
      <c r="BX74" s="770">
        <f>BQ74-BR74</f>
        <v>53616.332999999984</v>
      </c>
      <c r="BY74" s="772">
        <f>BR74-BU74</f>
        <v>2093.3337893333228</v>
      </c>
      <c r="BZ74" s="780">
        <f>BQ74-BU74</f>
        <v>55709.666789333307</v>
      </c>
      <c r="CA74" s="781"/>
      <c r="CB74" s="794"/>
      <c r="CC74" s="408" t="s">
        <v>53</v>
      </c>
      <c r="CD74" s="853">
        <f>CD20+BQ74</f>
        <v>245342</v>
      </c>
      <c r="CE74" s="853">
        <f>CE20+BR74</f>
        <v>156642.66700000002</v>
      </c>
      <c r="CF74" s="853">
        <f>CF20+BS74</f>
        <v>1940.899944</v>
      </c>
      <c r="CG74" s="785">
        <f>CG20+BT74</f>
        <v>4034.2337333333335</v>
      </c>
      <c r="CH74" s="853">
        <f>+CE74+CF74-CG74</f>
        <v>154549.33321066669</v>
      </c>
      <c r="CI74" s="818">
        <f t="shared" si="298"/>
        <v>0.98663624777702919</v>
      </c>
      <c r="CJ74" s="779">
        <f t="shared" si="299"/>
        <v>2.5754373381125673E-2</v>
      </c>
      <c r="CK74" s="781">
        <f>CD74-CE74</f>
        <v>88699.332999999984</v>
      </c>
      <c r="CL74" s="785">
        <f>CE74-CH74</f>
        <v>2093.3337893333228</v>
      </c>
      <c r="CM74" s="777">
        <f>CD74-CH74</f>
        <v>90792.666789333307</v>
      </c>
      <c r="CN74" s="781"/>
      <c r="CO74" s="789"/>
      <c r="CP74" s="408" t="s">
        <v>53</v>
      </c>
      <c r="CQ74" s="853">
        <f>CQ20+CD74</f>
        <v>278733</v>
      </c>
      <c r="CR74" s="853">
        <f>CR20+CE74</f>
        <v>156642.66700000002</v>
      </c>
      <c r="CS74" s="853">
        <f>CS20+CF74</f>
        <v>1940.899944</v>
      </c>
      <c r="CT74" s="785">
        <f>CT20+CG74</f>
        <v>4034.2337333333335</v>
      </c>
      <c r="CU74" s="853">
        <f>+CR74+CS74-CT74</f>
        <v>154549.33321066669</v>
      </c>
      <c r="CV74" s="818">
        <f t="shared" si="300"/>
        <v>0.98663624777702919</v>
      </c>
      <c r="CW74" s="779">
        <f t="shared" si="301"/>
        <v>2.5754373381125673E-2</v>
      </c>
      <c r="CX74" s="781">
        <f>CQ74-CR74</f>
        <v>122090.33299999998</v>
      </c>
      <c r="CY74" s="785">
        <f>CR74-CU74</f>
        <v>2093.3337893333228</v>
      </c>
      <c r="CZ74" s="777">
        <f>CQ74-CU74</f>
        <v>124183.66678933331</v>
      </c>
      <c r="DA74" s="781"/>
      <c r="DB74" s="790"/>
      <c r="DC74" s="408" t="s">
        <v>53</v>
      </c>
      <c r="DD74" s="853">
        <f>DD20+CQ74</f>
        <v>315208</v>
      </c>
      <c r="DE74" s="853">
        <f>DE20+CR74</f>
        <v>156642.66700000002</v>
      </c>
      <c r="DF74" s="853">
        <f>DF20+CS74</f>
        <v>1940.899944</v>
      </c>
      <c r="DG74" s="785">
        <f>DG20+CT74</f>
        <v>4034.2337333333335</v>
      </c>
      <c r="DH74" s="853">
        <f>+DE74+DF74-DG74</f>
        <v>154549.33321066669</v>
      </c>
      <c r="DI74" s="818">
        <f t="shared" si="302"/>
        <v>0.98663624777702919</v>
      </c>
      <c r="DJ74" s="779">
        <f t="shared" si="303"/>
        <v>2.5754373381125673E-2</v>
      </c>
      <c r="DK74" s="781">
        <f>DD74-DE74</f>
        <v>158565.33299999998</v>
      </c>
      <c r="DL74" s="785">
        <f>DE74-DH74</f>
        <v>2093.3337893333228</v>
      </c>
      <c r="DM74" s="777">
        <f>DD74-DH74</f>
        <v>160658.66678933331</v>
      </c>
      <c r="DN74" s="781"/>
      <c r="DO74" s="791"/>
      <c r="DP74" s="408" t="s">
        <v>53</v>
      </c>
      <c r="DQ74" s="853">
        <f>DQ20+DD74</f>
        <v>351503</v>
      </c>
      <c r="DR74" s="853">
        <f>DR20+DE74</f>
        <v>156642.66700000002</v>
      </c>
      <c r="DS74" s="853">
        <f>DS20+DF74</f>
        <v>1940.899944</v>
      </c>
      <c r="DT74" s="785">
        <f>DT20+DG74</f>
        <v>4034.2337333333335</v>
      </c>
      <c r="DU74" s="853">
        <f>+DR74+DS74-DT74</f>
        <v>154549.33321066669</v>
      </c>
      <c r="DV74" s="818">
        <f t="shared" si="304"/>
        <v>0.98663624777702919</v>
      </c>
      <c r="DW74" s="779">
        <f t="shared" si="305"/>
        <v>2.5754373381125673E-2</v>
      </c>
      <c r="DX74" s="781">
        <f>DQ74-DR74</f>
        <v>194860.33299999998</v>
      </c>
      <c r="DY74" s="785">
        <f>DR74-DU74</f>
        <v>2093.3337893333228</v>
      </c>
      <c r="DZ74" s="777">
        <f>DQ74-DU74</f>
        <v>196953.66678933331</v>
      </c>
      <c r="EA74" s="781"/>
      <c r="EB74" s="429"/>
      <c r="EC74" s="408" t="s">
        <v>53</v>
      </c>
      <c r="ED74" s="853">
        <f>ED20+DQ74</f>
        <v>385255</v>
      </c>
      <c r="EE74" s="853">
        <f>EE20+DR74</f>
        <v>156642.66700000002</v>
      </c>
      <c r="EF74" s="853">
        <f>EF20+DS74</f>
        <v>1940.899944</v>
      </c>
      <c r="EG74" s="772">
        <f>EG20+DT74</f>
        <v>4034.2337333333335</v>
      </c>
      <c r="EH74" s="853">
        <f>+EE74+EF74-EG74</f>
        <v>154549.33321066669</v>
      </c>
      <c r="EI74" s="818">
        <f t="shared" si="306"/>
        <v>0.98663624777702919</v>
      </c>
      <c r="EJ74" s="779">
        <f t="shared" si="307"/>
        <v>2.5754373381125673E-2</v>
      </c>
      <c r="EK74" s="781">
        <f>ED74-EE74</f>
        <v>228612.33299999998</v>
      </c>
      <c r="EL74" s="785">
        <f>EE74-EH74</f>
        <v>2093.3337893333228</v>
      </c>
      <c r="EM74" s="777">
        <f>ED74-EH74</f>
        <v>230705.66678933331</v>
      </c>
      <c r="EN74" s="781"/>
      <c r="EO74" s="792"/>
      <c r="EP74" s="408" t="s">
        <v>53</v>
      </c>
      <c r="EQ74" s="447">
        <f>EQ20+ED74</f>
        <v>421550</v>
      </c>
      <c r="ER74" s="853">
        <f>ER20+EE74</f>
        <v>156642.66700000002</v>
      </c>
      <c r="ES74" s="853">
        <f>ES20+EF74</f>
        <v>1940.899944</v>
      </c>
      <c r="ET74" s="785">
        <f>ET20+EG74</f>
        <v>4034.2337333333335</v>
      </c>
      <c r="EU74" s="853">
        <f>+ER74+ES74-ET74</f>
        <v>154549.33321066669</v>
      </c>
      <c r="EV74" s="818">
        <f t="shared" si="308"/>
        <v>0.98663624777702919</v>
      </c>
      <c r="EW74" s="779">
        <f t="shared" si="309"/>
        <v>2.5754373381125673E-2</v>
      </c>
      <c r="EX74" s="781">
        <f>EQ74-ER74</f>
        <v>264907.33299999998</v>
      </c>
      <c r="EY74" s="785">
        <f>ER74-EU74</f>
        <v>2093.3337893333228</v>
      </c>
      <c r="EZ74" s="777">
        <f>EQ74-EU74</f>
        <v>267000.66678933334</v>
      </c>
      <c r="FA74" s="776"/>
      <c r="FB74" s="776"/>
      <c r="FC74" s="776"/>
      <c r="FD74" s="776"/>
      <c r="FE74" s="776"/>
      <c r="FF74" s="776"/>
      <c r="FG74" s="776"/>
      <c r="FH74" s="776"/>
      <c r="FI74" s="776"/>
    </row>
    <row r="75" spans="1:165" s="208" customFormat="1" ht="15" customHeight="1">
      <c r="A75" s="785"/>
      <c r="B75" s="447"/>
      <c r="C75" s="455"/>
      <c r="D75" s="447"/>
      <c r="E75" s="447"/>
      <c r="F75" s="447"/>
      <c r="G75" s="214"/>
      <c r="H75" s="399"/>
      <c r="I75" s="779"/>
      <c r="J75" s="779"/>
      <c r="K75" s="770"/>
      <c r="L75" s="772"/>
      <c r="M75" s="780"/>
      <c r="N75" s="781"/>
      <c r="O75" s="793"/>
      <c r="P75" s="408"/>
      <c r="Q75" s="447"/>
      <c r="R75" s="447"/>
      <c r="S75" s="447"/>
      <c r="T75" s="772"/>
      <c r="U75" s="853"/>
      <c r="V75" s="779"/>
      <c r="W75" s="779"/>
      <c r="X75" s="770"/>
      <c r="Y75" s="772"/>
      <c r="Z75" s="780"/>
      <c r="AA75" s="781"/>
      <c r="AB75" s="783"/>
      <c r="AC75" s="408"/>
      <c r="AD75" s="447"/>
      <c r="AE75" s="447"/>
      <c r="AF75" s="447"/>
      <c r="AG75" s="772"/>
      <c r="AH75" s="853"/>
      <c r="AI75" s="779"/>
      <c r="AJ75" s="779"/>
      <c r="AK75" s="770"/>
      <c r="AL75" s="772"/>
      <c r="AM75" s="780"/>
      <c r="AN75" s="781"/>
      <c r="AO75" s="784"/>
      <c r="AP75" s="408"/>
      <c r="AQ75" s="447"/>
      <c r="AR75" s="853"/>
      <c r="AS75" s="853"/>
      <c r="AT75" s="785"/>
      <c r="AU75" s="853"/>
      <c r="AV75" s="818"/>
      <c r="AW75" s="779"/>
      <c r="AX75" s="770"/>
      <c r="AY75" s="772"/>
      <c r="AZ75" s="780"/>
      <c r="BA75" s="781"/>
      <c r="BB75" s="786"/>
      <c r="BC75" s="408"/>
      <c r="BD75" s="447"/>
      <c r="BE75" s="853"/>
      <c r="BF75" s="853"/>
      <c r="BG75" s="785"/>
      <c r="BH75" s="853"/>
      <c r="BI75" s="818"/>
      <c r="BJ75" s="779"/>
      <c r="BK75" s="770"/>
      <c r="BL75" s="772"/>
      <c r="BM75" s="780"/>
      <c r="BN75" s="781"/>
      <c r="BO75" s="787"/>
      <c r="BP75" s="408"/>
      <c r="BQ75" s="447"/>
      <c r="BR75" s="853"/>
      <c r="BS75" s="853"/>
      <c r="BT75" s="785"/>
      <c r="BU75" s="853"/>
      <c r="BV75" s="818"/>
      <c r="BW75" s="779"/>
      <c r="BX75" s="770"/>
      <c r="BY75" s="772"/>
      <c r="BZ75" s="780"/>
      <c r="CA75" s="781"/>
      <c r="CB75" s="794"/>
      <c r="CC75" s="408"/>
      <c r="CD75" s="853"/>
      <c r="CE75" s="853"/>
      <c r="CF75" s="853"/>
      <c r="CG75" s="785"/>
      <c r="CH75" s="853"/>
      <c r="CI75" s="818"/>
      <c r="CJ75" s="779"/>
      <c r="CK75" s="781"/>
      <c r="CL75" s="785"/>
      <c r="CM75" s="777"/>
      <c r="CN75" s="781"/>
      <c r="CO75" s="789"/>
      <c r="CP75" s="408"/>
      <c r="CQ75" s="853"/>
      <c r="CR75" s="853"/>
      <c r="CS75" s="853"/>
      <c r="CT75" s="785"/>
      <c r="CU75" s="853"/>
      <c r="CV75" s="818"/>
      <c r="CW75" s="779"/>
      <c r="CX75" s="781"/>
      <c r="CY75" s="785"/>
      <c r="CZ75" s="777"/>
      <c r="DA75" s="781"/>
      <c r="DB75" s="790"/>
      <c r="DC75" s="408"/>
      <c r="DD75" s="853"/>
      <c r="DE75" s="853"/>
      <c r="DF75" s="853"/>
      <c r="DG75" s="785"/>
      <c r="DH75" s="853"/>
      <c r="DI75" s="818"/>
      <c r="DJ75" s="779"/>
      <c r="DK75" s="781"/>
      <c r="DL75" s="785"/>
      <c r="DM75" s="777"/>
      <c r="DN75" s="781"/>
      <c r="DO75" s="791"/>
      <c r="DP75" s="408"/>
      <c r="DQ75" s="853"/>
      <c r="DR75" s="853"/>
      <c r="DS75" s="853"/>
      <c r="DT75" s="785"/>
      <c r="DU75" s="853"/>
      <c r="DV75" s="818"/>
      <c r="DW75" s="779"/>
      <c r="DX75" s="781"/>
      <c r="DY75" s="785"/>
      <c r="DZ75" s="777"/>
      <c r="EA75" s="781"/>
      <c r="EB75" s="429"/>
      <c r="EC75" s="408"/>
      <c r="ED75" s="853"/>
      <c r="EE75" s="853"/>
      <c r="EF75" s="853"/>
      <c r="EG75" s="772"/>
      <c r="EH75" s="853"/>
      <c r="EI75" s="818"/>
      <c r="EJ75" s="779"/>
      <c r="EK75" s="781"/>
      <c r="EL75" s="785"/>
      <c r="EM75" s="777"/>
      <c r="EN75" s="781"/>
      <c r="EO75" s="792"/>
      <c r="EP75" s="408"/>
      <c r="EQ75" s="447"/>
      <c r="ER75" s="853"/>
      <c r="ES75" s="853"/>
      <c r="ET75" s="785"/>
      <c r="EU75" s="853"/>
      <c r="EV75" s="818"/>
      <c r="EW75" s="779"/>
      <c r="EX75" s="781"/>
      <c r="EY75" s="785"/>
      <c r="EZ75" s="777"/>
      <c r="FA75" s="776"/>
      <c r="FB75" s="776"/>
      <c r="FC75" s="776"/>
      <c r="FD75" s="776"/>
      <c r="FE75" s="776"/>
      <c r="FF75" s="776"/>
      <c r="FG75" s="776"/>
      <c r="FH75" s="776"/>
      <c r="FI75" s="776"/>
    </row>
    <row r="76" spans="1:165" s="208" customFormat="1" ht="15" customHeight="1">
      <c r="A76" s="785"/>
      <c r="B76" s="447"/>
      <c r="C76" s="455" t="s">
        <v>54</v>
      </c>
      <c r="D76" s="447">
        <f>D22</f>
        <v>43893</v>
      </c>
      <c r="E76" s="447">
        <f>E22</f>
        <v>43390.98</v>
      </c>
      <c r="F76" s="447">
        <f>F22</f>
        <v>425.86657000000002</v>
      </c>
      <c r="G76" s="214">
        <f>G22</f>
        <v>1423.8833333333332</v>
      </c>
      <c r="H76" s="399">
        <f>+E76+F76-G76</f>
        <v>42392.96323666667</v>
      </c>
      <c r="I76" s="779"/>
      <c r="J76" s="779"/>
      <c r="K76" s="770"/>
      <c r="L76" s="772"/>
      <c r="M76" s="780"/>
      <c r="N76" s="781"/>
      <c r="O76" s="793"/>
      <c r="P76" s="408" t="s">
        <v>54</v>
      </c>
      <c r="Q76" s="447">
        <f>Q22+D76</f>
        <v>88021</v>
      </c>
      <c r="R76" s="447">
        <f>R22+E76</f>
        <v>86526.38</v>
      </c>
      <c r="S76" s="447">
        <f>S22+F76</f>
        <v>1003.8497599999999</v>
      </c>
      <c r="T76" s="772">
        <f>T22+G76</f>
        <v>3387.4666666666667</v>
      </c>
      <c r="U76" s="853">
        <f>+R76+S76-T76</f>
        <v>84142.763093333342</v>
      </c>
      <c r="V76" s="779">
        <f>IF(R76=0,"-",U76/R76)</f>
        <v>0.97245213648523532</v>
      </c>
      <c r="W76" s="779">
        <f t="shared" si="288"/>
        <v>3.9149524880928412E-2</v>
      </c>
      <c r="X76" s="770">
        <f t="shared" si="289"/>
        <v>1494.6199999999953</v>
      </c>
      <c r="Y76" s="772">
        <f t="shared" si="290"/>
        <v>2383.6169066666625</v>
      </c>
      <c r="Z76" s="780">
        <f t="shared" si="291"/>
        <v>3878.2369066666579</v>
      </c>
      <c r="AA76" s="781"/>
      <c r="AB76" s="783"/>
      <c r="AC76" s="408" t="s">
        <v>54</v>
      </c>
      <c r="AD76" s="447">
        <f>AD22+Q76</f>
        <v>130012</v>
      </c>
      <c r="AE76" s="447">
        <f>AE22+R76</f>
        <v>128405.48000000001</v>
      </c>
      <c r="AF76" s="447">
        <f>AF22+S76</f>
        <v>1575.0499</v>
      </c>
      <c r="AG76" s="772">
        <f>AG22+T76</f>
        <v>4695.7000000000007</v>
      </c>
      <c r="AH76" s="853">
        <f>+AE76+AF76-AG76</f>
        <v>125284.82990000001</v>
      </c>
      <c r="AI76" s="779">
        <f>IF(AE76=0,"-",AH76/AE76)</f>
        <v>0.97569690873006354</v>
      </c>
      <c r="AJ76" s="779">
        <f t="shared" si="292"/>
        <v>3.6569311527825762E-2</v>
      </c>
      <c r="AK76" s="770">
        <f>AD76-AE76</f>
        <v>1606.5199999999895</v>
      </c>
      <c r="AL76" s="772">
        <f>AE76-AH76</f>
        <v>3120.6500999999989</v>
      </c>
      <c r="AM76" s="780">
        <f>AD76-AH76</f>
        <v>4727.1700999999885</v>
      </c>
      <c r="AN76" s="781"/>
      <c r="AO76" s="784"/>
      <c r="AP76" s="408" t="s">
        <v>54</v>
      </c>
      <c r="AQ76" s="447">
        <f>AQ22+AD76</f>
        <v>173504</v>
      </c>
      <c r="AR76" s="853">
        <f>AR22+AE76</f>
        <v>172717.54</v>
      </c>
      <c r="AS76" s="853">
        <f>AS22+AF76</f>
        <v>2276.5164999999997</v>
      </c>
      <c r="AT76" s="785">
        <f>AT22+AG76</f>
        <v>5924.699700000001</v>
      </c>
      <c r="AU76" s="853">
        <f>+AR76+AS76-AT76</f>
        <v>169069.35680000001</v>
      </c>
      <c r="AV76" s="818">
        <f t="shared" ref="AV76" si="310">IF(AR76=0,"-",AU76/AR76)</f>
        <v>0.97887774918517256</v>
      </c>
      <c r="AW76" s="779">
        <f t="shared" si="293"/>
        <v>3.4302825873967407E-2</v>
      </c>
      <c r="AX76" s="770">
        <f>AQ76-AR76</f>
        <v>786.45999999999185</v>
      </c>
      <c r="AY76" s="772">
        <f>AR76-AU76</f>
        <v>3648.1831999999995</v>
      </c>
      <c r="AZ76" s="780">
        <f>AQ76-AU76</f>
        <v>4434.6431999999913</v>
      </c>
      <c r="BA76" s="781"/>
      <c r="BB76" s="786"/>
      <c r="BC76" s="408" t="s">
        <v>54</v>
      </c>
      <c r="BD76" s="447">
        <f>BD22+AQ76</f>
        <v>215731</v>
      </c>
      <c r="BE76" s="853">
        <f>BE22+AR76</f>
        <v>172717.54</v>
      </c>
      <c r="BF76" s="853">
        <f>BF22+AS76</f>
        <v>2276.5164999999997</v>
      </c>
      <c r="BG76" s="785">
        <f>BG22+AT76</f>
        <v>5924.699700000001</v>
      </c>
      <c r="BH76" s="853">
        <f>+BE76+BF76-BG76</f>
        <v>169069.35680000001</v>
      </c>
      <c r="BI76" s="818">
        <f t="shared" si="294"/>
        <v>0.97887774918517256</v>
      </c>
      <c r="BJ76" s="779">
        <f t="shared" si="295"/>
        <v>3.4302825873967407E-2</v>
      </c>
      <c r="BK76" s="770">
        <f>BD76-BE76</f>
        <v>43013.459999999992</v>
      </c>
      <c r="BL76" s="772">
        <f>BE76-BH76</f>
        <v>3648.1831999999995</v>
      </c>
      <c r="BM76" s="780">
        <f>BD76-BH76</f>
        <v>46661.643199999991</v>
      </c>
      <c r="BN76" s="781"/>
      <c r="BO76" s="787"/>
      <c r="BP76" s="408" t="s">
        <v>54</v>
      </c>
      <c r="BQ76" s="447">
        <f>BQ22+BD76</f>
        <v>259223</v>
      </c>
      <c r="BR76" s="853">
        <f>BR22+BE76</f>
        <v>172717.54</v>
      </c>
      <c r="BS76" s="853">
        <f>BS22+BF76</f>
        <v>2276.5164999999997</v>
      </c>
      <c r="BT76" s="785">
        <f>BT22+BG76</f>
        <v>5924.699700000001</v>
      </c>
      <c r="BU76" s="853">
        <f>+BR76+BS76-BT76</f>
        <v>169069.35680000001</v>
      </c>
      <c r="BV76" s="818">
        <f t="shared" si="296"/>
        <v>0.97887774918517256</v>
      </c>
      <c r="BW76" s="779">
        <f t="shared" si="297"/>
        <v>3.4302825873967407E-2</v>
      </c>
      <c r="BX76" s="770">
        <f>BQ76-BR76</f>
        <v>86505.459999999992</v>
      </c>
      <c r="BY76" s="772">
        <f>BR76-BU76</f>
        <v>3648.1831999999995</v>
      </c>
      <c r="BZ76" s="780">
        <f>BQ76-BU76</f>
        <v>90153.643199999991</v>
      </c>
      <c r="CA76" s="781"/>
      <c r="CB76" s="794"/>
      <c r="CC76" s="408" t="s">
        <v>54</v>
      </c>
      <c r="CD76" s="853">
        <f>CD22+BQ76</f>
        <v>302715</v>
      </c>
      <c r="CE76" s="853">
        <f>CE22+BR76</f>
        <v>172717.54</v>
      </c>
      <c r="CF76" s="853">
        <f>CF22+BS76</f>
        <v>2276.5164999999997</v>
      </c>
      <c r="CG76" s="785">
        <f>CG22+BT76</f>
        <v>5924.699700000001</v>
      </c>
      <c r="CH76" s="853">
        <f>+CE76+CF76-CG76</f>
        <v>169069.35680000001</v>
      </c>
      <c r="CI76" s="818">
        <f t="shared" si="298"/>
        <v>0.97887774918517256</v>
      </c>
      <c r="CJ76" s="779">
        <f t="shared" si="299"/>
        <v>3.4302825873967407E-2</v>
      </c>
      <c r="CK76" s="781">
        <f>CD76-CE76</f>
        <v>129997.45999999999</v>
      </c>
      <c r="CL76" s="785">
        <f>CE76-CH76</f>
        <v>3648.1831999999995</v>
      </c>
      <c r="CM76" s="777">
        <f>CD76-CH76</f>
        <v>133645.64319999999</v>
      </c>
      <c r="CN76" s="781"/>
      <c r="CO76" s="789"/>
      <c r="CP76" s="408" t="s">
        <v>54</v>
      </c>
      <c r="CQ76" s="853">
        <f>CQ22+CD76</f>
        <v>343840</v>
      </c>
      <c r="CR76" s="853">
        <f>CR22+CE76</f>
        <v>172717.54</v>
      </c>
      <c r="CS76" s="853">
        <f>CS22+CF76</f>
        <v>2276.5164999999997</v>
      </c>
      <c r="CT76" s="785">
        <f>CT22+CG76</f>
        <v>5924.699700000001</v>
      </c>
      <c r="CU76" s="853">
        <f>+CR76+CS76-CT76</f>
        <v>169069.35680000001</v>
      </c>
      <c r="CV76" s="818">
        <f t="shared" si="300"/>
        <v>0.97887774918517256</v>
      </c>
      <c r="CW76" s="779">
        <f t="shared" si="301"/>
        <v>3.4302825873967407E-2</v>
      </c>
      <c r="CX76" s="781">
        <f>CQ76-CR76</f>
        <v>171122.46</v>
      </c>
      <c r="CY76" s="785">
        <f>CR76-CU76</f>
        <v>3648.1831999999995</v>
      </c>
      <c r="CZ76" s="777">
        <f>CQ76-CU76</f>
        <v>174770.64319999999</v>
      </c>
      <c r="DA76" s="781"/>
      <c r="DB76" s="790"/>
      <c r="DC76" s="408" t="s">
        <v>54</v>
      </c>
      <c r="DD76" s="853">
        <f>DD22+CQ76</f>
        <v>387733</v>
      </c>
      <c r="DE76" s="853">
        <f>DE22+CR76</f>
        <v>172717.54</v>
      </c>
      <c r="DF76" s="853">
        <f>DF22+CS76</f>
        <v>2276.5164999999997</v>
      </c>
      <c r="DG76" s="785">
        <f>DG22+CT76</f>
        <v>5924.699700000001</v>
      </c>
      <c r="DH76" s="853">
        <f>+DE76+DF76-DG76</f>
        <v>169069.35680000001</v>
      </c>
      <c r="DI76" s="818">
        <f t="shared" si="302"/>
        <v>0.97887774918517256</v>
      </c>
      <c r="DJ76" s="779">
        <f t="shared" si="303"/>
        <v>3.4302825873967407E-2</v>
      </c>
      <c r="DK76" s="781">
        <f>DD76-DE76</f>
        <v>215015.46</v>
      </c>
      <c r="DL76" s="785">
        <f>DE76-DH76</f>
        <v>3648.1831999999995</v>
      </c>
      <c r="DM76" s="777">
        <f>DD76-DH76</f>
        <v>218663.64319999999</v>
      </c>
      <c r="DN76" s="781"/>
      <c r="DO76" s="791"/>
      <c r="DP76" s="408" t="s">
        <v>54</v>
      </c>
      <c r="DQ76" s="853">
        <f>DQ22+DD76</f>
        <v>430524</v>
      </c>
      <c r="DR76" s="853">
        <f>DR22+DE76</f>
        <v>172717.54</v>
      </c>
      <c r="DS76" s="853">
        <f>DS22+DF76</f>
        <v>2276.5164999999997</v>
      </c>
      <c r="DT76" s="785">
        <f>DT22+DG76</f>
        <v>5924.699700000001</v>
      </c>
      <c r="DU76" s="853">
        <f>+DR76+DS76-DT76</f>
        <v>169069.35680000001</v>
      </c>
      <c r="DV76" s="818">
        <f t="shared" si="304"/>
        <v>0.97887774918517256</v>
      </c>
      <c r="DW76" s="779">
        <f t="shared" si="305"/>
        <v>3.4302825873967407E-2</v>
      </c>
      <c r="DX76" s="781">
        <f>DQ76-DR76</f>
        <v>257806.46</v>
      </c>
      <c r="DY76" s="785">
        <f>DR76-DU76</f>
        <v>3648.1831999999995</v>
      </c>
      <c r="DZ76" s="777">
        <f>DQ76-DU76</f>
        <v>261454.64319999999</v>
      </c>
      <c r="EA76" s="781"/>
      <c r="EB76" s="429"/>
      <c r="EC76" s="408" t="s">
        <v>54</v>
      </c>
      <c r="ED76" s="853">
        <f>ED22+DQ76</f>
        <v>473852</v>
      </c>
      <c r="EE76" s="853">
        <f>EE22+DR76</f>
        <v>172717.54</v>
      </c>
      <c r="EF76" s="853">
        <f>EF22+DS76</f>
        <v>2276.5164999999997</v>
      </c>
      <c r="EG76" s="772">
        <f>EG22+DT76</f>
        <v>5924.699700000001</v>
      </c>
      <c r="EH76" s="853">
        <f>+EE76+EF76-EG76</f>
        <v>169069.35680000001</v>
      </c>
      <c r="EI76" s="818">
        <f t="shared" si="306"/>
        <v>0.97887774918517256</v>
      </c>
      <c r="EJ76" s="779">
        <f t="shared" si="307"/>
        <v>3.4302825873967407E-2</v>
      </c>
      <c r="EK76" s="781">
        <f>ED76-EE76</f>
        <v>301134.45999999996</v>
      </c>
      <c r="EL76" s="785">
        <f>EE76-EH76</f>
        <v>3648.1831999999995</v>
      </c>
      <c r="EM76" s="777">
        <f>ED76-EH76</f>
        <v>304782.64319999999</v>
      </c>
      <c r="EN76" s="781"/>
      <c r="EO76" s="792"/>
      <c r="EP76" s="408" t="s">
        <v>54</v>
      </c>
      <c r="EQ76" s="447">
        <f>EQ22+ED76</f>
        <v>516643</v>
      </c>
      <c r="ER76" s="853">
        <f>ER22+EE76</f>
        <v>172717.54</v>
      </c>
      <c r="ES76" s="853">
        <f>ES22+EF76</f>
        <v>2276.5164999999997</v>
      </c>
      <c r="ET76" s="785">
        <f>ET22+EG76</f>
        <v>5924.699700000001</v>
      </c>
      <c r="EU76" s="853">
        <f>+ER76+ES76-ET76</f>
        <v>169069.35680000001</v>
      </c>
      <c r="EV76" s="818">
        <f t="shared" si="308"/>
        <v>0.97887774918517256</v>
      </c>
      <c r="EW76" s="779">
        <f t="shared" si="309"/>
        <v>3.4302825873967407E-2</v>
      </c>
      <c r="EX76" s="781">
        <f>EQ76-ER76</f>
        <v>343925.45999999996</v>
      </c>
      <c r="EY76" s="785">
        <f>ER76-EU76</f>
        <v>3648.1831999999995</v>
      </c>
      <c r="EZ76" s="777">
        <f>EQ76-EU76</f>
        <v>347573.64319999999</v>
      </c>
      <c r="FA76" s="776"/>
      <c r="FB76" s="776"/>
      <c r="FC76" s="776"/>
      <c r="FD76" s="776"/>
      <c r="FE76" s="776"/>
      <c r="FF76" s="776"/>
      <c r="FG76" s="776"/>
      <c r="FH76" s="776"/>
      <c r="FI76" s="776"/>
    </row>
    <row r="77" spans="1:165" s="208" customFormat="1" ht="15" customHeight="1">
      <c r="A77" s="785"/>
      <c r="B77" s="447"/>
      <c r="C77" s="455"/>
      <c r="D77" s="447"/>
      <c r="E77" s="447"/>
      <c r="F77" s="447"/>
      <c r="G77" s="214"/>
      <c r="H77" s="399"/>
      <c r="I77" s="779"/>
      <c r="J77" s="779"/>
      <c r="K77" s="770"/>
      <c r="L77" s="772"/>
      <c r="M77" s="780"/>
      <c r="N77" s="781"/>
      <c r="O77" s="793"/>
      <c r="P77" s="408"/>
      <c r="Q77" s="447"/>
      <c r="R77" s="447"/>
      <c r="S77" s="447"/>
      <c r="T77" s="772"/>
      <c r="U77" s="853"/>
      <c r="V77" s="779"/>
      <c r="W77" s="779"/>
      <c r="X77" s="770"/>
      <c r="Y77" s="772"/>
      <c r="Z77" s="780"/>
      <c r="AA77" s="781"/>
      <c r="AB77" s="783"/>
      <c r="AC77" s="408"/>
      <c r="AD77" s="447"/>
      <c r="AE77" s="447"/>
      <c r="AF77" s="447"/>
      <c r="AG77" s="772"/>
      <c r="AH77" s="853"/>
      <c r="AI77" s="779"/>
      <c r="AJ77" s="779"/>
      <c r="AK77" s="770"/>
      <c r="AL77" s="772"/>
      <c r="AM77" s="780"/>
      <c r="AN77" s="781"/>
      <c r="AO77" s="784"/>
      <c r="AP77" s="408"/>
      <c r="AQ77" s="447"/>
      <c r="AR77" s="853"/>
      <c r="AS77" s="853"/>
      <c r="AT77" s="785"/>
      <c r="AU77" s="853"/>
      <c r="AV77" s="818"/>
      <c r="AW77" s="779"/>
      <c r="AX77" s="770"/>
      <c r="AY77" s="772"/>
      <c r="AZ77" s="780"/>
      <c r="BA77" s="781"/>
      <c r="BB77" s="786"/>
      <c r="BC77" s="408"/>
      <c r="BD77" s="447"/>
      <c r="BE77" s="853"/>
      <c r="BF77" s="853"/>
      <c r="BG77" s="785"/>
      <c r="BH77" s="853"/>
      <c r="BI77" s="818"/>
      <c r="BJ77" s="779"/>
      <c r="BK77" s="770"/>
      <c r="BL77" s="772"/>
      <c r="BM77" s="780"/>
      <c r="BN77" s="781"/>
      <c r="BO77" s="787"/>
      <c r="BP77" s="408"/>
      <c r="BQ77" s="447"/>
      <c r="BR77" s="853"/>
      <c r="BS77" s="853"/>
      <c r="BT77" s="785"/>
      <c r="BU77" s="853"/>
      <c r="BV77" s="818"/>
      <c r="BW77" s="779"/>
      <c r="BX77" s="770"/>
      <c r="BY77" s="772"/>
      <c r="BZ77" s="780"/>
      <c r="CA77" s="781"/>
      <c r="CB77" s="794"/>
      <c r="CC77" s="408"/>
      <c r="CD77" s="853"/>
      <c r="CE77" s="853"/>
      <c r="CF77" s="853"/>
      <c r="CG77" s="785"/>
      <c r="CH77" s="853"/>
      <c r="CI77" s="818"/>
      <c r="CJ77" s="779"/>
      <c r="CK77" s="781"/>
      <c r="CL77" s="785"/>
      <c r="CM77" s="777"/>
      <c r="CN77" s="781"/>
      <c r="CO77" s="789"/>
      <c r="CP77" s="408"/>
      <c r="CQ77" s="853"/>
      <c r="CR77" s="853"/>
      <c r="CS77" s="853"/>
      <c r="CT77" s="785"/>
      <c r="CU77" s="853"/>
      <c r="CV77" s="818"/>
      <c r="CW77" s="779"/>
      <c r="CX77" s="781"/>
      <c r="CY77" s="785"/>
      <c r="CZ77" s="777"/>
      <c r="DA77" s="781"/>
      <c r="DB77" s="790"/>
      <c r="DC77" s="408"/>
      <c r="DD77" s="853"/>
      <c r="DE77" s="853"/>
      <c r="DF77" s="853"/>
      <c r="DG77" s="785"/>
      <c r="DH77" s="853"/>
      <c r="DI77" s="818"/>
      <c r="DJ77" s="779"/>
      <c r="DK77" s="781"/>
      <c r="DL77" s="785"/>
      <c r="DM77" s="777"/>
      <c r="DN77" s="781"/>
      <c r="DO77" s="791"/>
      <c r="DP77" s="408"/>
      <c r="DQ77" s="853"/>
      <c r="DR77" s="853"/>
      <c r="DS77" s="853"/>
      <c r="DT77" s="785"/>
      <c r="DU77" s="853"/>
      <c r="DV77" s="818"/>
      <c r="DW77" s="779"/>
      <c r="DX77" s="781"/>
      <c r="DY77" s="785"/>
      <c r="DZ77" s="777"/>
      <c r="EA77" s="781"/>
      <c r="EB77" s="429"/>
      <c r="EC77" s="408"/>
      <c r="ED77" s="853"/>
      <c r="EE77" s="853"/>
      <c r="EF77" s="853"/>
      <c r="EG77" s="772"/>
      <c r="EH77" s="853"/>
      <c r="EI77" s="818"/>
      <c r="EJ77" s="779"/>
      <c r="EK77" s="781"/>
      <c r="EL77" s="785"/>
      <c r="EM77" s="777"/>
      <c r="EN77" s="781"/>
      <c r="EO77" s="792"/>
      <c r="EP77" s="408"/>
      <c r="EQ77" s="447"/>
      <c r="ER77" s="853"/>
      <c r="ES77" s="853"/>
      <c r="ET77" s="785"/>
      <c r="EU77" s="853"/>
      <c r="EV77" s="818"/>
      <c r="EW77" s="779"/>
      <c r="EX77" s="781"/>
      <c r="EY77" s="785"/>
      <c r="EZ77" s="777"/>
      <c r="FA77" s="776"/>
      <c r="FB77" s="776"/>
      <c r="FC77" s="776"/>
      <c r="FD77" s="776"/>
      <c r="FE77" s="776"/>
      <c r="FF77" s="776"/>
      <c r="FG77" s="776"/>
      <c r="FH77" s="776"/>
      <c r="FI77" s="776"/>
    </row>
    <row r="78" spans="1:165" s="208" customFormat="1" ht="15" customHeight="1">
      <c r="A78" s="785"/>
      <c r="B78" s="447"/>
      <c r="C78" s="455" t="s">
        <v>55</v>
      </c>
      <c r="D78" s="447">
        <f>D24</f>
        <v>63543</v>
      </c>
      <c r="E78" s="447">
        <f>E24</f>
        <v>63741.470000000016</v>
      </c>
      <c r="F78" s="447">
        <f>F24</f>
        <v>496.76684</v>
      </c>
      <c r="G78" s="214">
        <f>G24</f>
        <v>699.4</v>
      </c>
      <c r="H78" s="399">
        <f>+E78+F78-G78</f>
        <v>63538.836840000011</v>
      </c>
      <c r="I78" s="779">
        <f>IF(E78=0,"-",H78/E78)</f>
        <v>0.99682101526682698</v>
      </c>
      <c r="J78" s="779">
        <f>IF(ISERROR(G78/E78),"",G78/E78)</f>
        <v>1.0972448548801899E-2</v>
      </c>
      <c r="K78" s="770">
        <f>D78-E78</f>
        <v>-198.47000000001572</v>
      </c>
      <c r="L78" s="772">
        <f>E78-H78</f>
        <v>202.63316000000486</v>
      </c>
      <c r="M78" s="780">
        <f>D78-H78</f>
        <v>4.1631599999891478</v>
      </c>
      <c r="N78" s="781"/>
      <c r="O78" s="793"/>
      <c r="P78" s="408" t="s">
        <v>55</v>
      </c>
      <c r="Q78" s="447">
        <f>Q24+D78</f>
        <v>127336</v>
      </c>
      <c r="R78" s="447">
        <f>R24+E78</f>
        <v>128008.22000000003</v>
      </c>
      <c r="S78" s="447">
        <f>S24+F78</f>
        <v>1174.40011</v>
      </c>
      <c r="T78" s="772">
        <f>T24+G78</f>
        <v>1526.75</v>
      </c>
      <c r="U78" s="853">
        <f>+R78+S78-T78</f>
        <v>127655.87011000003</v>
      </c>
      <c r="V78" s="779">
        <f>IF(R78=0,"-",U78/R78)</f>
        <v>0.99724744325012882</v>
      </c>
      <c r="W78" s="779">
        <f t="shared" si="288"/>
        <v>1.1926968439995491E-2</v>
      </c>
      <c r="X78" s="770">
        <f t="shared" si="289"/>
        <v>-672.22000000003027</v>
      </c>
      <c r="Y78" s="772">
        <f t="shared" si="290"/>
        <v>352.34988999999769</v>
      </c>
      <c r="Z78" s="780">
        <f t="shared" si="291"/>
        <v>-319.87011000003258</v>
      </c>
      <c r="AA78" s="781"/>
      <c r="AB78" s="783"/>
      <c r="AC78" s="408" t="s">
        <v>55</v>
      </c>
      <c r="AD78" s="447">
        <f>AD24+Q78</f>
        <v>187322</v>
      </c>
      <c r="AE78" s="447">
        <f>AE24+R78</f>
        <v>188300.49000000005</v>
      </c>
      <c r="AF78" s="447">
        <f>AF24+S78</f>
        <v>1953.6002500000002</v>
      </c>
      <c r="AG78" s="772">
        <f>AG24+T78</f>
        <v>2308.5333333333333</v>
      </c>
      <c r="AH78" s="853">
        <f>+AE78+AF78-AG78</f>
        <v>187945.55691666671</v>
      </c>
      <c r="AI78" s="779">
        <f>IF(AE78=0,"-",AH78/AE78)</f>
        <v>0.99811507084589457</v>
      </c>
      <c r="AJ78" s="779">
        <f t="shared" si="292"/>
        <v>1.22598371004416E-2</v>
      </c>
      <c r="AK78" s="770">
        <f>AD78-AE78</f>
        <v>-978.49000000004889</v>
      </c>
      <c r="AL78" s="772">
        <f>AE78-AH78</f>
        <v>354.93308333333698</v>
      </c>
      <c r="AM78" s="780">
        <f>AD78-AH78</f>
        <v>-623.55691666671191</v>
      </c>
      <c r="AN78" s="781"/>
      <c r="AO78" s="784"/>
      <c r="AP78" s="408" t="s">
        <v>55</v>
      </c>
      <c r="AQ78" s="447">
        <f>AQ24+AD78</f>
        <v>249672</v>
      </c>
      <c r="AR78" s="853">
        <f>AR24+AE78</f>
        <v>252668.53000000003</v>
      </c>
      <c r="AS78" s="853">
        <f>AS24+AF78</f>
        <v>3071.4171500000002</v>
      </c>
      <c r="AT78" s="785">
        <f>AT24+AG78</f>
        <v>3763.0167633333331</v>
      </c>
      <c r="AU78" s="853">
        <f>+AR78+AS78-AT78</f>
        <v>251976.93038666667</v>
      </c>
      <c r="AV78" s="818">
        <f>IF(AR78=0,"-",AU78/AR78)</f>
        <v>0.99726281854992649</v>
      </c>
      <c r="AW78" s="779">
        <f t="shared" si="293"/>
        <v>1.4893096355661438E-2</v>
      </c>
      <c r="AX78" s="770">
        <f>AQ78-AR78</f>
        <v>-2996.5300000000279</v>
      </c>
      <c r="AY78" s="772">
        <f>AR78-AU78</f>
        <v>691.59961333335377</v>
      </c>
      <c r="AZ78" s="780">
        <f>AQ78-AU78</f>
        <v>-2304.9303866666742</v>
      </c>
      <c r="BA78" s="781"/>
      <c r="BB78" s="786"/>
      <c r="BC78" s="408" t="s">
        <v>55</v>
      </c>
      <c r="BD78" s="447">
        <f>BD24+AQ78</f>
        <v>309909</v>
      </c>
      <c r="BE78" s="853">
        <f>BE24+AR78</f>
        <v>252668.53000000003</v>
      </c>
      <c r="BF78" s="853">
        <f>BF24+AS78</f>
        <v>3071.4171500000002</v>
      </c>
      <c r="BG78" s="785">
        <f>BG24+AT78</f>
        <v>3763.0167633333331</v>
      </c>
      <c r="BH78" s="853">
        <f>+BE78+BF78-BG78</f>
        <v>251976.93038666667</v>
      </c>
      <c r="BI78" s="818">
        <f t="shared" si="294"/>
        <v>0.99726281854992649</v>
      </c>
      <c r="BJ78" s="779">
        <f t="shared" si="295"/>
        <v>1.4893096355661438E-2</v>
      </c>
      <c r="BK78" s="770">
        <f>BD78-BE78</f>
        <v>57240.469999999972</v>
      </c>
      <c r="BL78" s="772">
        <f>BE78-BH78</f>
        <v>691.59961333335377</v>
      </c>
      <c r="BM78" s="780">
        <f>BD78-BH78</f>
        <v>57932.069613333326</v>
      </c>
      <c r="BN78" s="781"/>
      <c r="BO78" s="787"/>
      <c r="BP78" s="408" t="s">
        <v>55</v>
      </c>
      <c r="BQ78" s="447">
        <f>BQ24+BD78</f>
        <v>372259</v>
      </c>
      <c r="BR78" s="853">
        <f>BR24+BE78</f>
        <v>252668.53000000003</v>
      </c>
      <c r="BS78" s="853">
        <f>BS24+BF78</f>
        <v>3071.4171500000002</v>
      </c>
      <c r="BT78" s="785">
        <f>BT24+BG78</f>
        <v>3763.0167633333331</v>
      </c>
      <c r="BU78" s="853">
        <f>+BR78+BS78-BT78</f>
        <v>251976.93038666667</v>
      </c>
      <c r="BV78" s="818">
        <f t="shared" si="296"/>
        <v>0.99726281854992649</v>
      </c>
      <c r="BW78" s="779">
        <f t="shared" si="297"/>
        <v>1.4893096355661438E-2</v>
      </c>
      <c r="BX78" s="770">
        <f>BQ78-BR78</f>
        <v>119590.46999999997</v>
      </c>
      <c r="BY78" s="772">
        <f>BR78-BU78</f>
        <v>691.59961333335377</v>
      </c>
      <c r="BZ78" s="780">
        <f>BQ78-BU78</f>
        <v>120282.06961333333</v>
      </c>
      <c r="CA78" s="781"/>
      <c r="CB78" s="794"/>
      <c r="CC78" s="408" t="s">
        <v>55</v>
      </c>
      <c r="CD78" s="853">
        <f>CD24+BQ78</f>
        <v>434609</v>
      </c>
      <c r="CE78" s="853">
        <f>CE24+BR78</f>
        <v>252668.53000000003</v>
      </c>
      <c r="CF78" s="853">
        <f>CF24+BS78</f>
        <v>3071.4171500000002</v>
      </c>
      <c r="CG78" s="785">
        <f>CG24+BT78</f>
        <v>3763.0167633333331</v>
      </c>
      <c r="CH78" s="853">
        <f>+CE78+CF78-CG78</f>
        <v>251976.93038666667</v>
      </c>
      <c r="CI78" s="818">
        <f t="shared" si="298"/>
        <v>0.99726281854992649</v>
      </c>
      <c r="CJ78" s="779">
        <f t="shared" si="299"/>
        <v>1.4893096355661438E-2</v>
      </c>
      <c r="CK78" s="781">
        <f>CD78-CE78</f>
        <v>181940.46999999997</v>
      </c>
      <c r="CL78" s="785">
        <f>CE78-CH78</f>
        <v>691.59961333335377</v>
      </c>
      <c r="CM78" s="777">
        <f>CD78-CH78</f>
        <v>182632.06961333333</v>
      </c>
      <c r="CN78" s="781"/>
      <c r="CO78" s="789"/>
      <c r="CP78" s="408" t="s">
        <v>55</v>
      </c>
      <c r="CQ78" s="853">
        <f>CQ24+CD78</f>
        <v>493675</v>
      </c>
      <c r="CR78" s="853">
        <f>CR24+CE78</f>
        <v>252668.53000000003</v>
      </c>
      <c r="CS78" s="853">
        <f>CS24+CF78</f>
        <v>3071.4171500000002</v>
      </c>
      <c r="CT78" s="785">
        <f>CT24+CG78</f>
        <v>3763.0167633333331</v>
      </c>
      <c r="CU78" s="853">
        <f>+CR78+CS78-CT78</f>
        <v>251976.93038666667</v>
      </c>
      <c r="CV78" s="818">
        <f t="shared" si="300"/>
        <v>0.99726281854992649</v>
      </c>
      <c r="CW78" s="779">
        <f t="shared" si="301"/>
        <v>1.4893096355661438E-2</v>
      </c>
      <c r="CX78" s="781">
        <f>CQ78-CR78</f>
        <v>241006.46999999997</v>
      </c>
      <c r="CY78" s="785">
        <f>CR78-CU78</f>
        <v>691.59961333335377</v>
      </c>
      <c r="CZ78" s="777">
        <f>CQ78-CU78</f>
        <v>241698.06961333333</v>
      </c>
      <c r="DA78" s="781"/>
      <c r="DB78" s="790"/>
      <c r="DC78" s="408" t="s">
        <v>55</v>
      </c>
      <c r="DD78" s="853">
        <f>DD24+CQ78</f>
        <v>557218</v>
      </c>
      <c r="DE78" s="853">
        <f>DE24+CR78</f>
        <v>252668.53000000003</v>
      </c>
      <c r="DF78" s="853">
        <f>DF24+CS78</f>
        <v>3071.4171500000002</v>
      </c>
      <c r="DG78" s="785">
        <f>DG24+CT78</f>
        <v>3763.0167633333331</v>
      </c>
      <c r="DH78" s="853">
        <f>+DE78+DF78-DG78</f>
        <v>251976.93038666667</v>
      </c>
      <c r="DI78" s="818">
        <f t="shared" si="302"/>
        <v>0.99726281854992649</v>
      </c>
      <c r="DJ78" s="779">
        <f t="shared" si="303"/>
        <v>1.4893096355661438E-2</v>
      </c>
      <c r="DK78" s="781">
        <f>DD78-DE78</f>
        <v>304549.46999999997</v>
      </c>
      <c r="DL78" s="785">
        <f>DE78-DH78</f>
        <v>691.59961333335377</v>
      </c>
      <c r="DM78" s="777">
        <f>DD78-DH78</f>
        <v>305241.06961333333</v>
      </c>
      <c r="DN78" s="781"/>
      <c r="DO78" s="791"/>
      <c r="DP78" s="408" t="s">
        <v>55</v>
      </c>
      <c r="DQ78" s="853">
        <f>DQ24+DD78</f>
        <v>619589</v>
      </c>
      <c r="DR78" s="853">
        <f>DR24+DE78</f>
        <v>252668.53000000003</v>
      </c>
      <c r="DS78" s="853">
        <f>DS24+DF78</f>
        <v>3071.4171500000002</v>
      </c>
      <c r="DT78" s="785">
        <f>DT24+DG78</f>
        <v>3763.0167633333331</v>
      </c>
      <c r="DU78" s="853">
        <f>+DR78+DS78-DT78</f>
        <v>251976.93038666667</v>
      </c>
      <c r="DV78" s="818">
        <f t="shared" si="304"/>
        <v>0.99726281854992649</v>
      </c>
      <c r="DW78" s="779">
        <f t="shared" si="305"/>
        <v>1.4893096355661438E-2</v>
      </c>
      <c r="DX78" s="781">
        <f>DQ78-DR78</f>
        <v>366920.47</v>
      </c>
      <c r="DY78" s="785">
        <f>DR78-DU78</f>
        <v>691.59961333335377</v>
      </c>
      <c r="DZ78" s="777">
        <f>DQ78-DU78</f>
        <v>367612.06961333333</v>
      </c>
      <c r="EA78" s="781"/>
      <c r="EB78" s="429"/>
      <c r="EC78" s="408" t="s">
        <v>55</v>
      </c>
      <c r="ED78" s="853">
        <f>ED24+DQ78</f>
        <v>680997</v>
      </c>
      <c r="EE78" s="853">
        <f>EE24+DR78</f>
        <v>252668.53000000003</v>
      </c>
      <c r="EF78" s="853">
        <f>EF24+DS78</f>
        <v>3071.4171500000002</v>
      </c>
      <c r="EG78" s="772">
        <f>EG24+DT78</f>
        <v>3763.0167633333331</v>
      </c>
      <c r="EH78" s="853">
        <f>+EE78+EF78-EG78</f>
        <v>251976.93038666667</v>
      </c>
      <c r="EI78" s="818">
        <f t="shared" si="306"/>
        <v>0.99726281854992649</v>
      </c>
      <c r="EJ78" s="779">
        <f t="shared" si="307"/>
        <v>1.4893096355661438E-2</v>
      </c>
      <c r="EK78" s="781">
        <f>ED78-EE78</f>
        <v>428328.47</v>
      </c>
      <c r="EL78" s="785">
        <f>EE78-EH78</f>
        <v>691.59961333335377</v>
      </c>
      <c r="EM78" s="777">
        <f>ED78-EH78</f>
        <v>429020.06961333333</v>
      </c>
      <c r="EN78" s="781"/>
      <c r="EO78" s="792"/>
      <c r="EP78" s="408" t="s">
        <v>55</v>
      </c>
      <c r="EQ78" s="447">
        <f>EQ24+ED78</f>
        <v>743368</v>
      </c>
      <c r="ER78" s="853">
        <f>ER24+EE78</f>
        <v>252668.53000000003</v>
      </c>
      <c r="ES78" s="853">
        <f>ES24+EF78</f>
        <v>3071.4171500000002</v>
      </c>
      <c r="ET78" s="785">
        <f>ET24+EG78</f>
        <v>3763.0167633333331</v>
      </c>
      <c r="EU78" s="853">
        <f>+ER78+ES78-ET78</f>
        <v>251976.93038666667</v>
      </c>
      <c r="EV78" s="818">
        <f t="shared" si="308"/>
        <v>0.99726281854992649</v>
      </c>
      <c r="EW78" s="779">
        <f t="shared" si="309"/>
        <v>1.4893096355661438E-2</v>
      </c>
      <c r="EX78" s="781">
        <f>EQ78-ER78</f>
        <v>490699.47</v>
      </c>
      <c r="EY78" s="785">
        <f>ER78-EU78</f>
        <v>691.59961333335377</v>
      </c>
      <c r="EZ78" s="777">
        <f>EQ78-EU78</f>
        <v>491391.06961333333</v>
      </c>
      <c r="FA78" s="776"/>
      <c r="FB78" s="776"/>
      <c r="FC78" s="776"/>
      <c r="FD78" s="776"/>
      <c r="FE78" s="776"/>
      <c r="FF78" s="776"/>
      <c r="FG78" s="776"/>
      <c r="FH78" s="776"/>
      <c r="FI78" s="776"/>
    </row>
    <row r="79" spans="1:165" s="208" customFormat="1" ht="15" customHeight="1">
      <c r="A79" s="785"/>
      <c r="B79" s="447"/>
      <c r="C79" s="455"/>
      <c r="D79" s="447"/>
      <c r="E79" s="447"/>
      <c r="F79" s="447"/>
      <c r="G79" s="214"/>
      <c r="H79" s="399"/>
      <c r="I79" s="779"/>
      <c r="J79" s="779"/>
      <c r="K79" s="770"/>
      <c r="L79" s="772"/>
      <c r="M79" s="780"/>
      <c r="N79" s="781"/>
      <c r="O79" s="793"/>
      <c r="P79" s="408"/>
      <c r="Q79" s="447"/>
      <c r="R79" s="447"/>
      <c r="S79" s="447"/>
      <c r="T79" s="772"/>
      <c r="U79" s="853"/>
      <c r="V79" s="779"/>
      <c r="W79" s="779"/>
      <c r="X79" s="770"/>
      <c r="Y79" s="772"/>
      <c r="Z79" s="780"/>
      <c r="AA79" s="781"/>
      <c r="AB79" s="783"/>
      <c r="AC79" s="408"/>
      <c r="AD79" s="447"/>
      <c r="AE79" s="447"/>
      <c r="AF79" s="447"/>
      <c r="AG79" s="772"/>
      <c r="AH79" s="853"/>
      <c r="AI79" s="779"/>
      <c r="AJ79" s="779"/>
      <c r="AK79" s="770"/>
      <c r="AL79" s="772"/>
      <c r="AM79" s="780"/>
      <c r="AN79" s="781"/>
      <c r="AO79" s="784"/>
      <c r="AP79" s="408"/>
      <c r="AQ79" s="447"/>
      <c r="AR79" s="853"/>
      <c r="AS79" s="853"/>
      <c r="AT79" s="785"/>
      <c r="AU79" s="853"/>
      <c r="AV79" s="818"/>
      <c r="AW79" s="779"/>
      <c r="AX79" s="770"/>
      <c r="AY79" s="772"/>
      <c r="AZ79" s="780"/>
      <c r="BA79" s="781"/>
      <c r="BB79" s="786"/>
      <c r="BC79" s="408"/>
      <c r="BD79" s="447"/>
      <c r="BE79" s="853"/>
      <c r="BF79" s="853"/>
      <c r="BG79" s="785"/>
      <c r="BH79" s="853"/>
      <c r="BI79" s="818"/>
      <c r="BJ79" s="779"/>
      <c r="BK79" s="770"/>
      <c r="BL79" s="772"/>
      <c r="BM79" s="780"/>
      <c r="BN79" s="781"/>
      <c r="BO79" s="787"/>
      <c r="BP79" s="408"/>
      <c r="BQ79" s="447"/>
      <c r="BR79" s="853"/>
      <c r="BS79" s="853"/>
      <c r="BT79" s="785"/>
      <c r="BU79" s="853"/>
      <c r="BV79" s="818"/>
      <c r="BW79" s="779"/>
      <c r="BX79" s="770"/>
      <c r="BY79" s="772"/>
      <c r="BZ79" s="780"/>
      <c r="CA79" s="781"/>
      <c r="CB79" s="794"/>
      <c r="CC79" s="408"/>
      <c r="CD79" s="853"/>
      <c r="CE79" s="853"/>
      <c r="CF79" s="853"/>
      <c r="CG79" s="785"/>
      <c r="CH79" s="853"/>
      <c r="CI79" s="818"/>
      <c r="CJ79" s="779"/>
      <c r="CK79" s="781"/>
      <c r="CL79" s="785"/>
      <c r="CM79" s="777"/>
      <c r="CN79" s="785"/>
      <c r="CO79" s="789"/>
      <c r="CP79" s="408"/>
      <c r="CQ79" s="853"/>
      <c r="CR79" s="853"/>
      <c r="CS79" s="853"/>
      <c r="CT79" s="785"/>
      <c r="CU79" s="853"/>
      <c r="CV79" s="818"/>
      <c r="CW79" s="779"/>
      <c r="CX79" s="781"/>
      <c r="CY79" s="785"/>
      <c r="CZ79" s="777"/>
      <c r="DA79" s="781"/>
      <c r="DB79" s="790"/>
      <c r="DC79" s="408"/>
      <c r="DD79" s="853"/>
      <c r="DE79" s="853"/>
      <c r="DF79" s="853"/>
      <c r="DG79" s="785"/>
      <c r="DH79" s="853"/>
      <c r="DI79" s="818"/>
      <c r="DJ79" s="779"/>
      <c r="DK79" s="781"/>
      <c r="DL79" s="785"/>
      <c r="DM79" s="777"/>
      <c r="DN79" s="781"/>
      <c r="DO79" s="791"/>
      <c r="DP79" s="408"/>
      <c r="DQ79" s="853"/>
      <c r="DR79" s="853"/>
      <c r="DS79" s="853"/>
      <c r="DT79" s="785"/>
      <c r="DU79" s="853"/>
      <c r="DV79" s="818"/>
      <c r="DW79" s="779"/>
      <c r="DX79" s="781"/>
      <c r="DY79" s="785"/>
      <c r="DZ79" s="777"/>
      <c r="EA79" s="781"/>
      <c r="EB79" s="429"/>
      <c r="EC79" s="408"/>
      <c r="ED79" s="853"/>
      <c r="EE79" s="853"/>
      <c r="EF79" s="853"/>
      <c r="EG79" s="772"/>
      <c r="EH79" s="853"/>
      <c r="EI79" s="818"/>
      <c r="EJ79" s="779"/>
      <c r="EK79" s="781"/>
      <c r="EL79" s="785"/>
      <c r="EM79" s="777"/>
      <c r="EN79" s="781"/>
      <c r="EO79" s="792"/>
      <c r="EP79" s="408"/>
      <c r="EQ79" s="447"/>
      <c r="ER79" s="853"/>
      <c r="ES79" s="853"/>
      <c r="ET79" s="785"/>
      <c r="EU79" s="853"/>
      <c r="EV79" s="818"/>
      <c r="EW79" s="779"/>
      <c r="EX79" s="781"/>
      <c r="EY79" s="785"/>
      <c r="EZ79" s="777"/>
      <c r="FA79" s="776"/>
      <c r="FB79" s="776"/>
      <c r="FC79" s="776"/>
      <c r="FD79" s="776"/>
      <c r="FE79" s="776"/>
      <c r="FF79" s="776"/>
      <c r="FG79" s="776"/>
      <c r="FH79" s="776"/>
      <c r="FI79" s="776"/>
    </row>
    <row r="80" spans="1:165" s="208" customFormat="1" ht="15" customHeight="1">
      <c r="A80" s="785"/>
      <c r="B80" s="447"/>
      <c r="C80" s="455" t="s">
        <v>56</v>
      </c>
      <c r="D80" s="447">
        <f>D26</f>
        <v>64468</v>
      </c>
      <c r="E80" s="447">
        <f>E26</f>
        <v>64818</v>
      </c>
      <c r="F80" s="447">
        <f>F26</f>
        <v>627.23362999999995</v>
      </c>
      <c r="G80" s="214">
        <f>G26</f>
        <v>1113.2666666666664</v>
      </c>
      <c r="H80" s="399">
        <f>+E80+F80-G80</f>
        <v>64331.96696333334</v>
      </c>
      <c r="I80" s="779">
        <f>IF(E80=0,"-",H80/E80)</f>
        <v>0.9925015730712663</v>
      </c>
      <c r="J80" s="779">
        <f>IF(ISERROR(G80/E80),"",G80/E80)</f>
        <v>1.7175270243862298E-2</v>
      </c>
      <c r="K80" s="770">
        <f>D80-E80</f>
        <v>-350</v>
      </c>
      <c r="L80" s="772">
        <f>E80-H80</f>
        <v>486.03303666666034</v>
      </c>
      <c r="M80" s="780">
        <f>D80-H80</f>
        <v>136.03303666666034</v>
      </c>
      <c r="N80" s="781"/>
      <c r="O80" s="793"/>
      <c r="P80" s="408" t="s">
        <v>56</v>
      </c>
      <c r="Q80" s="447">
        <f>Q26+D80</f>
        <v>129200</v>
      </c>
      <c r="R80" s="447">
        <f>R26+E80</f>
        <v>130851.66</v>
      </c>
      <c r="S80" s="447">
        <f>S26+F80</f>
        <v>1402.91687</v>
      </c>
      <c r="T80" s="772">
        <f>T26+G80</f>
        <v>2141.7666666666664</v>
      </c>
      <c r="U80" s="853">
        <f>+R80+S80-T80</f>
        <v>130112.81020333333</v>
      </c>
      <c r="V80" s="779">
        <f>IF(R80=0,"-",U80/R80)</f>
        <v>0.99435353134483218</v>
      </c>
      <c r="W80" s="779">
        <f t="shared" si="288"/>
        <v>1.6367898325987354E-2</v>
      </c>
      <c r="X80" s="770">
        <f t="shared" si="289"/>
        <v>-1651.6600000000035</v>
      </c>
      <c r="Y80" s="772">
        <f t="shared" si="290"/>
        <v>738.84979666667641</v>
      </c>
      <c r="Z80" s="780">
        <f t="shared" si="291"/>
        <v>-912.81020333332708</v>
      </c>
      <c r="AA80" s="781"/>
      <c r="AB80" s="783"/>
      <c r="AC80" s="408" t="s">
        <v>56</v>
      </c>
      <c r="AD80" s="447">
        <f>AD26+Q80</f>
        <v>190410</v>
      </c>
      <c r="AE80" s="447">
        <f>AE26+R80</f>
        <v>192224.51</v>
      </c>
      <c r="AF80" s="447">
        <f>AF26+S80</f>
        <v>2272.7005300000001</v>
      </c>
      <c r="AG80" s="772">
        <f>AG26+T80</f>
        <v>3560.5</v>
      </c>
      <c r="AH80" s="853">
        <f>+AE80+AF80-AG80</f>
        <v>190936.71053000001</v>
      </c>
      <c r="AI80" s="779">
        <f>IF(AE80=0,"-",AH80/AE80)</f>
        <v>0.99330054492010411</v>
      </c>
      <c r="AJ80" s="779">
        <f t="shared" si="292"/>
        <v>1.8522611918740228E-2</v>
      </c>
      <c r="AK80" s="770">
        <f>AD80-AE80</f>
        <v>-1814.5100000000093</v>
      </c>
      <c r="AL80" s="772">
        <f>AE80-AH80</f>
        <v>1287.7994699999981</v>
      </c>
      <c r="AM80" s="780">
        <f>AD80-AH80</f>
        <v>-526.7105300000112</v>
      </c>
      <c r="AN80" s="781"/>
      <c r="AO80" s="784"/>
      <c r="AP80" s="408" t="s">
        <v>56</v>
      </c>
      <c r="AQ80" s="447">
        <f>AQ26+AD80</f>
        <v>253939</v>
      </c>
      <c r="AR80" s="853">
        <f>AR26+AE80</f>
        <v>257078.17</v>
      </c>
      <c r="AS80" s="853">
        <f>AS26+AF80</f>
        <v>3188.6672900000003</v>
      </c>
      <c r="AT80" s="785">
        <f>AT26+AG80</f>
        <v>5003.4164000000001</v>
      </c>
      <c r="AU80" s="853">
        <f>+AR80+AS80-AT80</f>
        <v>255263.42089000004</v>
      </c>
      <c r="AV80" s="818">
        <f>IF(AR80=0,"-",AU80/AR80)</f>
        <v>0.99294086654654501</v>
      </c>
      <c r="AW80" s="779">
        <f t="shared" si="293"/>
        <v>1.9462626484387995E-2</v>
      </c>
      <c r="AX80" s="770">
        <f>AQ80-AR80</f>
        <v>-3139.1700000000128</v>
      </c>
      <c r="AY80" s="772">
        <f>AR80-AU80</f>
        <v>1814.7491099999752</v>
      </c>
      <c r="AZ80" s="780">
        <f>AQ80-AU80</f>
        <v>-1324.4208900000376</v>
      </c>
      <c r="BA80" s="781"/>
      <c r="BB80" s="786"/>
      <c r="BC80" s="408" t="s">
        <v>56</v>
      </c>
      <c r="BD80" s="447">
        <f>BD26+AQ80</f>
        <v>315413</v>
      </c>
      <c r="BE80" s="853">
        <f>BE26+AR80</f>
        <v>257078.17</v>
      </c>
      <c r="BF80" s="853">
        <f>BF26+AS80</f>
        <v>3188.6672900000003</v>
      </c>
      <c r="BG80" s="785">
        <f>BG26+AT80</f>
        <v>5003.4164000000001</v>
      </c>
      <c r="BH80" s="853">
        <f>+BE80+BF80-BG80</f>
        <v>255263.42089000004</v>
      </c>
      <c r="BI80" s="818">
        <f t="shared" si="294"/>
        <v>0.99294086654654501</v>
      </c>
      <c r="BJ80" s="779">
        <f t="shared" si="295"/>
        <v>1.9462626484387995E-2</v>
      </c>
      <c r="BK80" s="770">
        <f>BD80-BE80</f>
        <v>58334.829999999987</v>
      </c>
      <c r="BL80" s="772">
        <f>BE80-BH80</f>
        <v>1814.7491099999752</v>
      </c>
      <c r="BM80" s="780">
        <f>BD80-BH80</f>
        <v>60149.579109999962</v>
      </c>
      <c r="BN80" s="781"/>
      <c r="BO80" s="787"/>
      <c r="BP80" s="408" t="s">
        <v>56</v>
      </c>
      <c r="BQ80" s="447">
        <f>BQ26+BD80</f>
        <v>378942</v>
      </c>
      <c r="BR80" s="853">
        <f>BR26+BE80</f>
        <v>257078.17</v>
      </c>
      <c r="BS80" s="853">
        <f>BS26+BF80</f>
        <v>3188.6672900000003</v>
      </c>
      <c r="BT80" s="785">
        <f>BT26+BG80</f>
        <v>5003.4164000000001</v>
      </c>
      <c r="BU80" s="853">
        <f>+BR80+BS80-BT80</f>
        <v>255263.42089000004</v>
      </c>
      <c r="BV80" s="818">
        <f t="shared" si="296"/>
        <v>0.99294086654654501</v>
      </c>
      <c r="BW80" s="779">
        <f t="shared" si="297"/>
        <v>1.9462626484387995E-2</v>
      </c>
      <c r="BX80" s="770">
        <f>BQ80-BR80</f>
        <v>121863.82999999999</v>
      </c>
      <c r="BY80" s="772">
        <f>BR80-BU80</f>
        <v>1814.7491099999752</v>
      </c>
      <c r="BZ80" s="780">
        <f>BQ80-BU80</f>
        <v>123678.57910999996</v>
      </c>
      <c r="CA80" s="781"/>
      <c r="CB80" s="794"/>
      <c r="CC80" s="408" t="s">
        <v>56</v>
      </c>
      <c r="CD80" s="853">
        <f>CD26+BQ80</f>
        <v>442471</v>
      </c>
      <c r="CE80" s="853">
        <f>CE26+BR80</f>
        <v>257078.17</v>
      </c>
      <c r="CF80" s="853">
        <f>CF26+BS80</f>
        <v>3188.6672900000003</v>
      </c>
      <c r="CG80" s="785">
        <f>CG26+BT80</f>
        <v>5003.4164000000001</v>
      </c>
      <c r="CH80" s="853">
        <f>+CE80+CF80-CG80</f>
        <v>255263.42089000004</v>
      </c>
      <c r="CI80" s="818">
        <f t="shared" si="298"/>
        <v>0.99294086654654501</v>
      </c>
      <c r="CJ80" s="779">
        <f t="shared" si="299"/>
        <v>1.9462626484387995E-2</v>
      </c>
      <c r="CK80" s="781">
        <f>CD80-CE80</f>
        <v>185392.83</v>
      </c>
      <c r="CL80" s="785">
        <f>CE80-CH80</f>
        <v>1814.7491099999752</v>
      </c>
      <c r="CM80" s="777">
        <f>CD80-CH80</f>
        <v>187207.57910999996</v>
      </c>
      <c r="CN80" s="25"/>
      <c r="CO80" s="789"/>
      <c r="CP80" s="408" t="s">
        <v>56</v>
      </c>
      <c r="CQ80" s="853">
        <f>CQ26+CD80</f>
        <v>502566</v>
      </c>
      <c r="CR80" s="853">
        <f>CR26+CE80</f>
        <v>257078.17</v>
      </c>
      <c r="CS80" s="853">
        <f>CS26+CF80</f>
        <v>3188.6672900000003</v>
      </c>
      <c r="CT80" s="785">
        <f>CT26+CG80</f>
        <v>5003.4164000000001</v>
      </c>
      <c r="CU80" s="853">
        <f>+CR80+CS80-CT80</f>
        <v>255263.42089000004</v>
      </c>
      <c r="CV80" s="818">
        <f t="shared" si="300"/>
        <v>0.99294086654654501</v>
      </c>
      <c r="CW80" s="779">
        <f t="shared" si="301"/>
        <v>1.9462626484387995E-2</v>
      </c>
      <c r="CX80" s="781">
        <f>CQ80-CR80</f>
        <v>245487.83</v>
      </c>
      <c r="CY80" s="785">
        <f>CR80-CU80</f>
        <v>1814.7491099999752</v>
      </c>
      <c r="CZ80" s="777">
        <f>CQ80-CU80</f>
        <v>247302.57910999996</v>
      </c>
      <c r="DA80" s="770"/>
      <c r="DB80" s="790"/>
      <c r="DC80" s="408" t="s">
        <v>56</v>
      </c>
      <c r="DD80" s="853">
        <f>DD26+CQ80</f>
        <v>567034</v>
      </c>
      <c r="DE80" s="853">
        <f>DE26+CR80</f>
        <v>257078.17</v>
      </c>
      <c r="DF80" s="853">
        <f>DF26+CS80</f>
        <v>3188.6672900000003</v>
      </c>
      <c r="DG80" s="785">
        <f>DG26+CT80</f>
        <v>5003.4164000000001</v>
      </c>
      <c r="DH80" s="853">
        <f>+DE80+DF80-DG80</f>
        <v>255263.42089000004</v>
      </c>
      <c r="DI80" s="818">
        <f t="shared" si="302"/>
        <v>0.99294086654654501</v>
      </c>
      <c r="DJ80" s="779">
        <f t="shared" si="303"/>
        <v>1.9462626484387995E-2</v>
      </c>
      <c r="DK80" s="781">
        <f>DD80-DE80</f>
        <v>309955.82999999996</v>
      </c>
      <c r="DL80" s="785">
        <f>DE80-DH80</f>
        <v>1814.7491099999752</v>
      </c>
      <c r="DM80" s="777">
        <f>DD80-DH80</f>
        <v>311770.57910999993</v>
      </c>
      <c r="DN80" s="770"/>
      <c r="DO80" s="791"/>
      <c r="DP80" s="408" t="s">
        <v>56</v>
      </c>
      <c r="DQ80" s="853">
        <f>DQ26+DD80</f>
        <v>630123</v>
      </c>
      <c r="DR80" s="853">
        <f>DR26+DE80</f>
        <v>257078.17</v>
      </c>
      <c r="DS80" s="853">
        <f>DS26+DF80</f>
        <v>3188.6672900000003</v>
      </c>
      <c r="DT80" s="785">
        <f>DT26+DG80</f>
        <v>5003.4164000000001</v>
      </c>
      <c r="DU80" s="853">
        <f>+DR80+DS80-DT80</f>
        <v>255263.42089000004</v>
      </c>
      <c r="DV80" s="818">
        <f t="shared" si="304"/>
        <v>0.99294086654654501</v>
      </c>
      <c r="DW80" s="779">
        <f t="shared" si="305"/>
        <v>1.9462626484387995E-2</v>
      </c>
      <c r="DX80" s="781">
        <f>DQ80-DR80</f>
        <v>373044.82999999996</v>
      </c>
      <c r="DY80" s="785">
        <f>DR80-DU80</f>
        <v>1814.7491099999752</v>
      </c>
      <c r="DZ80" s="777">
        <f>DQ80-DU80</f>
        <v>374859.57910999993</v>
      </c>
      <c r="EA80" s="770"/>
      <c r="EB80" s="429"/>
      <c r="EC80" s="408" t="s">
        <v>56</v>
      </c>
      <c r="ED80" s="853">
        <f>ED26+DQ80</f>
        <v>692975</v>
      </c>
      <c r="EE80" s="853">
        <f>EE26+DR80</f>
        <v>257078.17</v>
      </c>
      <c r="EF80" s="853">
        <f>EF26+DS80</f>
        <v>3188.6672900000003</v>
      </c>
      <c r="EG80" s="772">
        <f>EG26+DT80</f>
        <v>5003.4164000000001</v>
      </c>
      <c r="EH80" s="853">
        <f>+EE80+EF80-EG80</f>
        <v>255263.42089000004</v>
      </c>
      <c r="EI80" s="818">
        <f t="shared" si="306"/>
        <v>0.99294086654654501</v>
      </c>
      <c r="EJ80" s="779">
        <f t="shared" si="307"/>
        <v>1.9462626484387995E-2</v>
      </c>
      <c r="EK80" s="781">
        <f>ED80-EE80</f>
        <v>435896.82999999996</v>
      </c>
      <c r="EL80" s="785">
        <f>EE80-EH80</f>
        <v>1814.7491099999752</v>
      </c>
      <c r="EM80" s="777">
        <f>ED80-EH80</f>
        <v>437711.57910999993</v>
      </c>
      <c r="EN80" s="770"/>
      <c r="EO80" s="792"/>
      <c r="EP80" s="408" t="s">
        <v>56</v>
      </c>
      <c r="EQ80" s="447">
        <f>EQ26+ED80</f>
        <v>756064</v>
      </c>
      <c r="ER80" s="853">
        <f>ER26+EE80</f>
        <v>257078.17</v>
      </c>
      <c r="ES80" s="853">
        <f>ES26+EF80</f>
        <v>3188.6672900000003</v>
      </c>
      <c r="ET80" s="785">
        <f>ET26+EG80</f>
        <v>5003.4164000000001</v>
      </c>
      <c r="EU80" s="853">
        <f>+ER80+ES80-ET80</f>
        <v>255263.42089000004</v>
      </c>
      <c r="EV80" s="818">
        <f t="shared" si="308"/>
        <v>0.99294086654654501</v>
      </c>
      <c r="EW80" s="779">
        <f t="shared" si="309"/>
        <v>1.9462626484387995E-2</v>
      </c>
      <c r="EX80" s="781">
        <f>EQ80-ER80</f>
        <v>498985.82999999996</v>
      </c>
      <c r="EY80" s="785">
        <f>ER80-EU80</f>
        <v>1814.7491099999752</v>
      </c>
      <c r="EZ80" s="777">
        <f>EQ80-EU80</f>
        <v>500800.57910999993</v>
      </c>
      <c r="FA80" s="25"/>
      <c r="FB80" s="785"/>
      <c r="FC80" s="25"/>
      <c r="FD80" s="211"/>
      <c r="FE80" s="211"/>
      <c r="FF80" s="25"/>
      <c r="FG80" s="25"/>
      <c r="FH80" s="25"/>
      <c r="FI80" s="25"/>
    </row>
    <row r="81" spans="1:166" s="208" customFormat="1" ht="15" customHeight="1" thickBot="1">
      <c r="A81" s="785"/>
      <c r="B81" s="447"/>
      <c r="C81" s="772"/>
      <c r="D81" s="447"/>
      <c r="E81" s="447"/>
      <c r="F81" s="447"/>
      <c r="G81" s="214"/>
      <c r="H81" s="399"/>
      <c r="I81" s="779"/>
      <c r="J81" s="779"/>
      <c r="K81" s="356"/>
      <c r="L81" s="772"/>
      <c r="M81" s="780"/>
      <c r="N81" s="781"/>
      <c r="O81" s="793"/>
      <c r="P81" s="785"/>
      <c r="Q81" s="447"/>
      <c r="R81" s="447"/>
      <c r="S81" s="447"/>
      <c r="T81" s="772"/>
      <c r="U81" s="853"/>
      <c r="V81" s="779"/>
      <c r="W81" s="779"/>
      <c r="X81" s="356"/>
      <c r="Y81" s="772"/>
      <c r="Z81" s="780"/>
      <c r="AA81" s="781"/>
      <c r="AB81" s="783"/>
      <c r="AC81" s="785"/>
      <c r="AD81" s="447"/>
      <c r="AE81" s="447"/>
      <c r="AF81" s="447"/>
      <c r="AG81" s="772"/>
      <c r="AH81" s="853"/>
      <c r="AI81" s="779"/>
      <c r="AJ81" s="779"/>
      <c r="AK81" s="356"/>
      <c r="AL81" s="772"/>
      <c r="AM81" s="780"/>
      <c r="AN81" s="781"/>
      <c r="AO81" s="784"/>
      <c r="AP81" s="785"/>
      <c r="AQ81" s="447"/>
      <c r="AR81" s="853"/>
      <c r="AS81" s="853"/>
      <c r="AT81" s="785"/>
      <c r="AU81" s="853"/>
      <c r="AV81" s="818"/>
      <c r="AW81" s="779"/>
      <c r="AX81" s="356"/>
      <c r="AY81" s="772"/>
      <c r="AZ81" s="780"/>
      <c r="BA81" s="781"/>
      <c r="BB81" s="786"/>
      <c r="BC81" s="785"/>
      <c r="BD81" s="447"/>
      <c r="BE81" s="853"/>
      <c r="BF81" s="853"/>
      <c r="BG81" s="785"/>
      <c r="BH81" s="853"/>
      <c r="BI81" s="818"/>
      <c r="BJ81" s="779"/>
      <c r="BK81" s="356"/>
      <c r="BL81" s="772"/>
      <c r="BM81" s="780"/>
      <c r="BN81" s="781"/>
      <c r="BO81" s="787"/>
      <c r="BP81" s="785"/>
      <c r="BQ81" s="447"/>
      <c r="BR81" s="853"/>
      <c r="BS81" s="853"/>
      <c r="BT81" s="785"/>
      <c r="BU81" s="853"/>
      <c r="BV81" s="818"/>
      <c r="BW81" s="779"/>
      <c r="BX81" s="356"/>
      <c r="BY81" s="772"/>
      <c r="BZ81" s="780"/>
      <c r="CA81" s="781"/>
      <c r="CB81" s="794"/>
      <c r="CC81" s="785"/>
      <c r="CD81" s="853"/>
      <c r="CE81" s="853"/>
      <c r="CF81" s="853"/>
      <c r="CG81" s="785"/>
      <c r="CH81" s="853"/>
      <c r="CI81" s="818"/>
      <c r="CJ81" s="779"/>
      <c r="CK81" s="212"/>
      <c r="CL81" s="785"/>
      <c r="CM81" s="777"/>
      <c r="CN81" s="25"/>
      <c r="CO81" s="789"/>
      <c r="CP81" s="408"/>
      <c r="CQ81" s="447"/>
      <c r="CR81" s="853"/>
      <c r="CS81" s="853"/>
      <c r="CT81" s="214"/>
      <c r="CU81" s="152"/>
      <c r="CV81" s="818"/>
      <c r="CW81" s="779"/>
      <c r="CX81" s="781"/>
      <c r="CY81" s="785"/>
      <c r="CZ81" s="777"/>
      <c r="DA81" s="781"/>
      <c r="DB81" s="790"/>
      <c r="DC81" s="408"/>
      <c r="DD81" s="447"/>
      <c r="DE81" s="853"/>
      <c r="DF81" s="853"/>
      <c r="DG81" s="214"/>
      <c r="DH81" s="152"/>
      <c r="DI81" s="818"/>
      <c r="DJ81" s="779"/>
      <c r="DK81" s="781"/>
      <c r="DL81" s="785"/>
      <c r="DM81" s="777"/>
      <c r="DN81" s="781"/>
      <c r="DO81" s="791"/>
      <c r="DP81" s="408"/>
      <c r="DQ81" s="447"/>
      <c r="DR81" s="853"/>
      <c r="DS81" s="853"/>
      <c r="DT81" s="214"/>
      <c r="DU81" s="152"/>
      <c r="DV81" s="818"/>
      <c r="DW81" s="779"/>
      <c r="DX81" s="781"/>
      <c r="DY81" s="785"/>
      <c r="DZ81" s="777"/>
      <c r="EA81" s="781"/>
      <c r="EB81" s="429"/>
      <c r="EC81" s="408"/>
      <c r="ED81" s="447"/>
      <c r="EE81" s="853"/>
      <c r="EF81" s="853"/>
      <c r="EG81" s="214"/>
      <c r="EH81" s="152"/>
      <c r="EI81" s="818"/>
      <c r="EJ81" s="779"/>
      <c r="EK81" s="781"/>
      <c r="EL81" s="785"/>
      <c r="EM81" s="777"/>
      <c r="EN81" s="781"/>
      <c r="EO81" s="792"/>
      <c r="EP81" s="408"/>
      <c r="EQ81" s="447"/>
      <c r="ER81" s="853"/>
      <c r="ES81" s="853"/>
      <c r="ET81" s="214"/>
      <c r="EU81" s="152"/>
      <c r="EV81" s="818"/>
      <c r="EW81" s="779"/>
      <c r="EX81" s="781"/>
      <c r="EY81" s="785"/>
      <c r="EZ81" s="777"/>
      <c r="FA81" s="25"/>
      <c r="FB81" s="785"/>
      <c r="FC81" s="25"/>
      <c r="FD81" s="211"/>
      <c r="FE81" s="211"/>
      <c r="FF81" s="25"/>
      <c r="FG81" s="25"/>
      <c r="FH81" s="25"/>
      <c r="FI81" s="25"/>
      <c r="FJ81" s="776"/>
    </row>
    <row r="82" spans="1:166" s="208" customFormat="1" ht="15" customHeight="1" thickTop="1" thickBot="1">
      <c r="A82" s="785"/>
      <c r="B82" s="796"/>
      <c r="C82" s="358" t="s">
        <v>57</v>
      </c>
      <c r="D82" s="272">
        <f>SUM(D60:D81)</f>
        <v>561831</v>
      </c>
      <c r="E82" s="272">
        <f>SUM(E60:E81)</f>
        <v>561731.66500000004</v>
      </c>
      <c r="F82" s="272">
        <f>SUM(F60:F81)</f>
        <v>4993.6840000000002</v>
      </c>
      <c r="G82" s="354">
        <f>SUM(G60:G81)</f>
        <v>10982.15</v>
      </c>
      <c r="H82" s="400">
        <f>+E82+F82-G82</f>
        <v>555743.19900000002</v>
      </c>
      <c r="I82" s="366">
        <f>IF(E82=0,"-",H82/E82)</f>
        <v>0.9893392764319241</v>
      </c>
      <c r="J82" s="366">
        <f>IF(ISERROR(G82/E82),"",G82/E82)</f>
        <v>1.9550526851641877E-2</v>
      </c>
      <c r="K82" s="357">
        <f>D82-E82</f>
        <v>99.334999999962747</v>
      </c>
      <c r="L82" s="354">
        <f>E82-H82</f>
        <v>5988.4660000000149</v>
      </c>
      <c r="M82" s="358">
        <f>D82-H82</f>
        <v>6087.8009999999776</v>
      </c>
      <c r="N82" s="781"/>
      <c r="O82" s="798"/>
      <c r="P82" s="271" t="s">
        <v>57</v>
      </c>
      <c r="Q82" s="272">
        <f>SUM(Q60:Q81)</f>
        <v>1126190</v>
      </c>
      <c r="R82" s="272">
        <f>SUM(R60:R81)</f>
        <v>1127545.899</v>
      </c>
      <c r="S82" s="272">
        <f>SUM(S60:S81)</f>
        <v>11305.900277000001</v>
      </c>
      <c r="T82" s="354">
        <f>SUM(T60:T81)</f>
        <v>22748.15</v>
      </c>
      <c r="U82" s="354">
        <f>SUM(U60:U81)</f>
        <v>1116103.649277</v>
      </c>
      <c r="V82" s="366">
        <f>IF(R82=0,"-",U82/R82)</f>
        <v>0.98985207632509864</v>
      </c>
      <c r="W82" s="366">
        <f>IF(ISERROR(T82/R82),"-",T82/R82)</f>
        <v>2.0174921500024898E-2</v>
      </c>
      <c r="X82" s="357">
        <f>SUM(X60:X81)</f>
        <v>-1355.899000000034</v>
      </c>
      <c r="Y82" s="354">
        <f>SUM(Y60:Y81)</f>
        <v>11442.24972300003</v>
      </c>
      <c r="Z82" s="358">
        <f>SUM(Z60:Z81)</f>
        <v>10086.350722999996</v>
      </c>
      <c r="AA82" s="781"/>
      <c r="AB82" s="799"/>
      <c r="AC82" s="271" t="s">
        <v>57</v>
      </c>
      <c r="AD82" s="272">
        <f>SUM(AD60:AD81)</f>
        <v>1657753</v>
      </c>
      <c r="AE82" s="272">
        <f>SUM(AE60:AE81)</f>
        <v>1657130.1619999998</v>
      </c>
      <c r="AF82" s="272">
        <f>SUM(AF60:AF81)</f>
        <v>18614.800514000002</v>
      </c>
      <c r="AG82" s="354">
        <f>SUM(AG60:AG81)</f>
        <v>35404.633333333331</v>
      </c>
      <c r="AH82" s="271">
        <f>+AE82+AF82-AG82</f>
        <v>1640340.3291806665</v>
      </c>
      <c r="AI82" s="366">
        <f>IF(AE82=0,"-",AH82/AE82)</f>
        <v>0.98986812671427715</v>
      </c>
      <c r="AJ82" s="366">
        <f>IF(ISERROR(AG82/AE82),"-",AG82/AE82)</f>
        <v>2.1365028617066073E-2</v>
      </c>
      <c r="AK82" s="357">
        <f>SUM(AK60:AK81)</f>
        <v>622.83799999995972</v>
      </c>
      <c r="AL82" s="354">
        <f>SUM(AL60:AL81)</f>
        <v>16789.832819333358</v>
      </c>
      <c r="AM82" s="358">
        <f>SUM(AM60:AM81)</f>
        <v>17412.670819333318</v>
      </c>
      <c r="AN82" s="781"/>
      <c r="AO82" s="771"/>
      <c r="AP82" s="271" t="s">
        <v>57</v>
      </c>
      <c r="AQ82" s="272">
        <f>SUM(AQ60:AQ81)</f>
        <v>2209919</v>
      </c>
      <c r="AR82" s="271">
        <f>SUM(AR60:AR81)</f>
        <v>2221565.2380000004</v>
      </c>
      <c r="AS82" s="271">
        <f>SUM(AS60:AS81)</f>
        <v>26798.451324000005</v>
      </c>
      <c r="AT82" s="269">
        <f>SUM(AT60:AT81)</f>
        <v>49672.568226333329</v>
      </c>
      <c r="AU82" s="271">
        <f>+AR82+AS82-AT82</f>
        <v>2198691.1210976671</v>
      </c>
      <c r="AV82" s="362">
        <f>IF(AR82=0,"-",AU82/AR82)</f>
        <v>0.98970360333738117</v>
      </c>
      <c r="AW82" s="366">
        <f>IF(ISERROR(AT82/AR82),"-",AT82/AR82)</f>
        <v>2.2359266060109878E-2</v>
      </c>
      <c r="AX82" s="357">
        <f>SUM(AX60:AX81)</f>
        <v>-11646.238000000041</v>
      </c>
      <c r="AY82" s="354">
        <f>SUM(AY60:AY81)</f>
        <v>22874.116902333277</v>
      </c>
      <c r="AZ82" s="358">
        <f>SUM(AZ60:AZ81)</f>
        <v>11227.878902333236</v>
      </c>
      <c r="BA82" s="781"/>
      <c r="BB82" s="800"/>
      <c r="BC82" s="271" t="s">
        <v>57</v>
      </c>
      <c r="BD82" s="272">
        <f>SUM(BD60:BD81)</f>
        <v>2744009</v>
      </c>
      <c r="BE82" s="271">
        <f>SUM(BE60:BE81)</f>
        <v>2221565.2380000004</v>
      </c>
      <c r="BF82" s="271">
        <f>SUM(BF60:BF81)</f>
        <v>26798.451324000005</v>
      </c>
      <c r="BG82" s="269">
        <f>SUM(BG60:BG81)</f>
        <v>49672.568226333329</v>
      </c>
      <c r="BH82" s="271">
        <f>+BE82+BF82-BG82</f>
        <v>2198691.1210976671</v>
      </c>
      <c r="BI82" s="362">
        <f>IF(BE82=0,"-",BH82/BE82)</f>
        <v>0.98970360333738117</v>
      </c>
      <c r="BJ82" s="366">
        <f>IF(ISERROR(BG82/BE82),"-",BG82/BE82)</f>
        <v>2.2359266060109878E-2</v>
      </c>
      <c r="BK82" s="357">
        <f>SUM(BK60:BK81)</f>
        <v>522443.76199999987</v>
      </c>
      <c r="BL82" s="354">
        <f>SUM(BL60:BL81)</f>
        <v>22874.116902333277</v>
      </c>
      <c r="BM82" s="358">
        <f>SUM(BM60:BM81)</f>
        <v>545317.87890233332</v>
      </c>
      <c r="BN82" s="781"/>
      <c r="BO82" s="801"/>
      <c r="BP82" s="271" t="s">
        <v>57</v>
      </c>
      <c r="BQ82" s="272">
        <f>SUM(BQ60:BQ81)</f>
        <v>3296175</v>
      </c>
      <c r="BR82" s="271">
        <f>SUM(BR60:BR81)</f>
        <v>2221565.2380000004</v>
      </c>
      <c r="BS82" s="271">
        <f>SUM(BS60:BS81)</f>
        <v>26798.451324000005</v>
      </c>
      <c r="BT82" s="269">
        <f>SUM(BT60:BT81)</f>
        <v>49672.568226333329</v>
      </c>
      <c r="BU82" s="271">
        <f>+BR82+BS82-BT82</f>
        <v>2198691.1210976671</v>
      </c>
      <c r="BV82" s="362">
        <f>IF(BR82=0,"-",BU82/BR82)</f>
        <v>0.98970360333738117</v>
      </c>
      <c r="BW82" s="366">
        <f>IF(ISERROR(BT82/BR82),"-",BT82/BR82)</f>
        <v>2.2359266060109878E-2</v>
      </c>
      <c r="BX82" s="357">
        <f>SUM(BX60:BX81)</f>
        <v>1074609.7620000001</v>
      </c>
      <c r="BY82" s="354">
        <f>SUM(BY60:BY81)</f>
        <v>22874.116902333277</v>
      </c>
      <c r="BZ82" s="358">
        <f>SUM(BZ60:BZ81)</f>
        <v>1097483.8789023333</v>
      </c>
      <c r="CA82" s="781"/>
      <c r="CB82" s="802"/>
      <c r="CC82" s="271" t="s">
        <v>57</v>
      </c>
      <c r="CD82" s="272">
        <f>SUM(CD60:CD81)</f>
        <v>3848341</v>
      </c>
      <c r="CE82" s="271">
        <f>SUM(CE60:CE81)</f>
        <v>2221565.2380000004</v>
      </c>
      <c r="CF82" s="271">
        <f>SUM(CF60:CF81)</f>
        <v>26798.451324000005</v>
      </c>
      <c r="CG82" s="269">
        <f>SUM(CG60:CG81)</f>
        <v>49672.568226333329</v>
      </c>
      <c r="CH82" s="271">
        <f>+CE82+CF82-CG82</f>
        <v>2198691.1210976671</v>
      </c>
      <c r="CI82" s="362">
        <f>IF(CE82=0,"-",CH82/CE82)</f>
        <v>0.98970360333738117</v>
      </c>
      <c r="CJ82" s="366">
        <f>IF(ISERROR(CG82/CE82),"-",CG82/CE82)</f>
        <v>2.2359266060109878E-2</v>
      </c>
      <c r="CK82" s="274">
        <f>SUM(CK60:CK81)</f>
        <v>1626775.7619999999</v>
      </c>
      <c r="CL82" s="269">
        <f>SUM(CL60:CL81)</f>
        <v>22874.116902333277</v>
      </c>
      <c r="CM82" s="270">
        <f>SUM(CM60:CM81)</f>
        <v>1649649.8789023333</v>
      </c>
      <c r="CN82" s="25"/>
      <c r="CO82" s="803"/>
      <c r="CP82" s="271" t="s">
        <v>57</v>
      </c>
      <c r="CQ82" s="272">
        <f>SUM(CQ60:CQ81)</f>
        <v>4371492</v>
      </c>
      <c r="CR82" s="271">
        <f>SUM(CR60:CR81)</f>
        <v>2221565.2380000004</v>
      </c>
      <c r="CS82" s="271">
        <f>SUM(CS60:CS81)</f>
        <v>26798.451324000005</v>
      </c>
      <c r="CT82" s="269">
        <f>SUM(CT60:CT81)</f>
        <v>49672.568226333329</v>
      </c>
      <c r="CU82" s="271">
        <f>+CR82+CS82-CT82</f>
        <v>2198691.1210976671</v>
      </c>
      <c r="CV82" s="362">
        <f>IF(CR82=0,"-",CU82/CR82)</f>
        <v>0.98970360333738117</v>
      </c>
      <c r="CW82" s="366">
        <f>IF(ISERROR(CT82/CR82),"-",CT82/CR82)</f>
        <v>2.2359266060109878E-2</v>
      </c>
      <c r="CX82" s="274">
        <f>SUM(CX60:CX81)</f>
        <v>2149926.7619999996</v>
      </c>
      <c r="CY82" s="269">
        <f>SUM(CY60:CY81)</f>
        <v>22874.116902333277</v>
      </c>
      <c r="CZ82" s="270">
        <f>SUM(CZ60:CZ81)</f>
        <v>2172800.8789023333</v>
      </c>
      <c r="DA82" s="781"/>
      <c r="DB82" s="804"/>
      <c r="DC82" s="271" t="s">
        <v>57</v>
      </c>
      <c r="DD82" s="272">
        <f>SUM(DD60:DD81)</f>
        <v>4933323</v>
      </c>
      <c r="DE82" s="271">
        <f>SUM(DE60:DE81)</f>
        <v>2221565.2380000004</v>
      </c>
      <c r="DF82" s="271">
        <f>SUM(DF60:DF81)</f>
        <v>26798.451324000005</v>
      </c>
      <c r="DG82" s="269">
        <f>SUM(DG60:DG81)</f>
        <v>49672.568226333329</v>
      </c>
      <c r="DH82" s="271">
        <f>+DE82+DF82-DG82</f>
        <v>2198691.1210976671</v>
      </c>
      <c r="DI82" s="362">
        <f>IF(DE82=0,"-",DH82/DE82)</f>
        <v>0.98970360333738117</v>
      </c>
      <c r="DJ82" s="366">
        <f>IF(ISERROR(DG82/DE82),"-",DG82/DE82)</f>
        <v>2.2359266060109878E-2</v>
      </c>
      <c r="DK82" s="274">
        <f>SUM(DK60:DK81)</f>
        <v>2711757.7620000001</v>
      </c>
      <c r="DL82" s="269">
        <f>SUM(DL60:DL81)</f>
        <v>22874.116902333277</v>
      </c>
      <c r="DM82" s="270">
        <f>SUM(DM60:DM81)</f>
        <v>2734631.8789023329</v>
      </c>
      <c r="DN82" s="781"/>
      <c r="DO82" s="805"/>
      <c r="DP82" s="271" t="s">
        <v>57</v>
      </c>
      <c r="DQ82" s="272">
        <f>SUM(DQ60:DQ81)</f>
        <v>5484216</v>
      </c>
      <c r="DR82" s="271">
        <f>SUM(DR60:DR81)</f>
        <v>2221565.2380000004</v>
      </c>
      <c r="DS82" s="271">
        <f>SUM(DS60:DS81)</f>
        <v>26798.451324000005</v>
      </c>
      <c r="DT82" s="269">
        <f>SUM(DT60:DT81)</f>
        <v>49672.568226333329</v>
      </c>
      <c r="DU82" s="271">
        <f>+DR82+DS82-DT82</f>
        <v>2198691.1210976671</v>
      </c>
      <c r="DV82" s="362">
        <f>IF(DR82=0,"-",DU82/DR82)</f>
        <v>0.98970360333738117</v>
      </c>
      <c r="DW82" s="366">
        <f>IF(ISERROR(DT82/DR82),"-",DT82/DR82)</f>
        <v>2.2359266060109878E-2</v>
      </c>
      <c r="DX82" s="274">
        <f>SUM(DX60:DX81)</f>
        <v>3262650.7620000001</v>
      </c>
      <c r="DY82" s="269">
        <f>SUM(DY60:DY81)</f>
        <v>22874.116902333277</v>
      </c>
      <c r="DZ82" s="270">
        <f>SUM(DZ60:DZ81)</f>
        <v>3285524.8789023329</v>
      </c>
      <c r="EA82" s="781"/>
      <c r="EB82" s="774"/>
      <c r="EC82" s="271" t="s">
        <v>57</v>
      </c>
      <c r="ED82" s="272">
        <f>SUM(ED60:ED81)</f>
        <v>6029242</v>
      </c>
      <c r="EE82" s="271">
        <f>SUM(EE60:EE81)</f>
        <v>2221565.2380000004</v>
      </c>
      <c r="EF82" s="271">
        <f>SUM(EF60:EF81)</f>
        <v>26798.451324000005</v>
      </c>
      <c r="EG82" s="354">
        <f>SUM(EG60:EG81)</f>
        <v>49672.568226333329</v>
      </c>
      <c r="EH82" s="271">
        <f>+EE82+EF82-EG82</f>
        <v>2198691.1210976671</v>
      </c>
      <c r="EI82" s="362">
        <f>IF(EE82=0,"-",EH82/EE82)</f>
        <v>0.98970360333738117</v>
      </c>
      <c r="EJ82" s="366">
        <f>IF(ISERROR(EG82/EE82),"-",EG82/EE82)</f>
        <v>2.2359266060109878E-2</v>
      </c>
      <c r="EK82" s="274">
        <f>SUM(EK60:EK81)</f>
        <v>3807676.7620000001</v>
      </c>
      <c r="EL82" s="269">
        <f>SUM(EL60:EL81)</f>
        <v>22874.116902333277</v>
      </c>
      <c r="EM82" s="270">
        <f>SUM(EM60:EM81)</f>
        <v>3830550.8789023329</v>
      </c>
      <c r="EN82" s="781"/>
      <c r="EO82" s="775"/>
      <c r="EP82" s="271" t="s">
        <v>57</v>
      </c>
      <c r="EQ82" s="272">
        <f>SUM(EQ60:EQ81)</f>
        <v>6580135</v>
      </c>
      <c r="ER82" s="271">
        <f>SUM(ER60:ER81)</f>
        <v>2221565.2380000004</v>
      </c>
      <c r="ES82" s="271">
        <f>SUM(ES60:ES81)</f>
        <v>26798.451324000005</v>
      </c>
      <c r="ET82" s="269">
        <f>SUM(ET60:ET81)</f>
        <v>49672.568226333329</v>
      </c>
      <c r="EU82" s="271">
        <f>+ER82+ES82-ET82</f>
        <v>2198691.1210976671</v>
      </c>
      <c r="EV82" s="362">
        <f>IF(ER82=0,"-",EU82/ER82)</f>
        <v>0.98970360333738117</v>
      </c>
      <c r="EW82" s="366">
        <f>IF(ISERROR(ET82/ER82),"-",ET82/ER82)</f>
        <v>2.2359266060109878E-2</v>
      </c>
      <c r="EX82" s="274">
        <f>SUM(EX60:EX81)</f>
        <v>4358569.7620000001</v>
      </c>
      <c r="EY82" s="269">
        <f>SUM(EY60:EY81)</f>
        <v>22874.116902333277</v>
      </c>
      <c r="EZ82" s="270">
        <f>SUM(EZ60:EZ81)</f>
        <v>4381443.8789023338</v>
      </c>
      <c r="FA82" s="25"/>
      <c r="FB82" s="785"/>
      <c r="FC82" s="25"/>
      <c r="FD82" s="211"/>
      <c r="FE82" s="211"/>
      <c r="FF82" s="25"/>
      <c r="FG82" s="25"/>
      <c r="FH82" s="25"/>
      <c r="FI82" s="25"/>
      <c r="FJ82" s="776"/>
    </row>
    <row r="83" spans="1:166" s="208" customFormat="1" ht="15" customHeight="1" thickBot="1">
      <c r="A83" s="776"/>
      <c r="B83" s="807"/>
      <c r="C83" s="216"/>
      <c r="D83" s="216"/>
      <c r="E83" s="216"/>
      <c r="F83" s="216"/>
      <c r="G83" s="216"/>
      <c r="H83" s="456"/>
      <c r="I83" s="442"/>
      <c r="J83" s="442"/>
      <c r="K83" s="216"/>
      <c r="L83" s="216"/>
      <c r="M83" s="216"/>
      <c r="N83" s="776"/>
      <c r="O83" s="776"/>
      <c r="P83" s="406" t="s">
        <v>76</v>
      </c>
      <c r="Q83" s="216"/>
      <c r="R83" s="216"/>
      <c r="S83" s="216"/>
      <c r="T83" s="776"/>
      <c r="U83" s="776"/>
      <c r="V83" s="363"/>
      <c r="W83" s="854"/>
      <c r="X83" s="807"/>
      <c r="Y83" s="772"/>
      <c r="Z83" s="772"/>
      <c r="AA83" s="776"/>
      <c r="AB83" s="776"/>
      <c r="AC83" s="216"/>
      <c r="AD83" s="785"/>
      <c r="AE83" s="776"/>
      <c r="AF83" s="776"/>
      <c r="AG83" s="776"/>
      <c r="AH83" s="776"/>
      <c r="AI83" s="363"/>
      <c r="AJ83" s="854"/>
      <c r="AK83" s="776"/>
      <c r="AL83" s="776"/>
      <c r="AM83" s="776"/>
      <c r="AN83" s="776"/>
      <c r="AO83" s="25"/>
      <c r="AP83" s="216"/>
      <c r="AQ83" s="772"/>
      <c r="AR83" s="776"/>
      <c r="AS83" s="776"/>
      <c r="AT83" s="776"/>
      <c r="AU83" s="776"/>
      <c r="AV83" s="363"/>
      <c r="AW83" s="854"/>
      <c r="AX83" s="776"/>
      <c r="AY83" s="776"/>
      <c r="AZ83" s="776"/>
      <c r="BA83" s="785"/>
      <c r="BB83" s="776"/>
      <c r="BC83" s="216"/>
      <c r="BD83" s="772"/>
      <c r="BE83" s="776"/>
      <c r="BF83" s="776"/>
      <c r="BG83" s="776"/>
      <c r="BH83" s="776"/>
      <c r="BI83" s="363"/>
      <c r="BJ83" s="854"/>
      <c r="BK83" s="772"/>
      <c r="BL83" s="807"/>
      <c r="BM83" s="807"/>
      <c r="BN83" s="776"/>
      <c r="BO83" s="776"/>
      <c r="BP83" s="216"/>
      <c r="BQ83" s="772"/>
      <c r="BR83" s="776"/>
      <c r="BS83" s="776"/>
      <c r="BT83" s="776"/>
      <c r="BU83" s="776"/>
      <c r="BV83" s="363"/>
      <c r="BW83" s="854"/>
      <c r="BX83" s="772"/>
      <c r="BY83" s="807"/>
      <c r="BZ83" s="807"/>
      <c r="CA83" s="776"/>
      <c r="CB83" s="776"/>
      <c r="CC83" s="216"/>
      <c r="CD83" s="785"/>
      <c r="CE83" s="776"/>
      <c r="CF83" s="776"/>
      <c r="CG83" s="776"/>
      <c r="CH83" s="776"/>
      <c r="CI83" s="363"/>
      <c r="CJ83" s="854"/>
      <c r="CK83" s="776"/>
      <c r="CL83" s="776"/>
      <c r="CM83" s="776"/>
      <c r="CN83" s="25"/>
      <c r="CO83" s="776"/>
      <c r="CP83" s="216"/>
      <c r="CQ83" s="776"/>
      <c r="CR83" s="776"/>
      <c r="CS83" s="776"/>
      <c r="CT83" s="776"/>
      <c r="CU83" s="776"/>
      <c r="CV83" s="363"/>
      <c r="CW83" s="854"/>
      <c r="CX83" s="776"/>
      <c r="CY83" s="776"/>
      <c r="CZ83" s="776"/>
      <c r="DA83" s="776"/>
      <c r="DB83" s="807"/>
      <c r="DC83" s="216"/>
      <c r="DD83" s="807"/>
      <c r="DE83" s="807"/>
      <c r="DF83" s="776"/>
      <c r="DG83" s="807"/>
      <c r="DH83" s="776"/>
      <c r="DI83" s="370"/>
      <c r="DJ83" s="854"/>
      <c r="DK83" s="807"/>
      <c r="DL83" s="776"/>
      <c r="DM83" s="776"/>
      <c r="DN83" s="776"/>
      <c r="DO83" s="776"/>
      <c r="DP83" s="216"/>
      <c r="DQ83" s="776"/>
      <c r="DR83" s="776"/>
      <c r="DS83" s="776"/>
      <c r="DT83" s="776"/>
      <c r="DU83" s="776"/>
      <c r="DV83" s="363"/>
      <c r="DW83" s="854"/>
      <c r="DX83" s="776"/>
      <c r="DY83" s="776"/>
      <c r="DZ83" s="776"/>
      <c r="EA83" s="776"/>
      <c r="EB83" s="776"/>
      <c r="EC83" s="216"/>
      <c r="ED83" s="807"/>
      <c r="EE83" s="807"/>
      <c r="EF83" s="776"/>
      <c r="EG83" s="807"/>
      <c r="EH83" s="776"/>
      <c r="EI83" s="363"/>
      <c r="EJ83" s="854"/>
      <c r="EK83" s="776"/>
      <c r="EL83" s="776"/>
      <c r="EM83" s="776"/>
      <c r="EN83" s="776"/>
      <c r="EO83" s="776"/>
      <c r="EP83" s="216"/>
      <c r="EQ83" s="776"/>
      <c r="ER83" s="776"/>
      <c r="ES83" s="776"/>
      <c r="ET83" s="776"/>
      <c r="EU83" s="776"/>
      <c r="EV83" s="363"/>
      <c r="EW83" s="854"/>
      <c r="EX83" s="776"/>
      <c r="EY83" s="776"/>
      <c r="EZ83" s="776"/>
      <c r="FA83" s="25"/>
      <c r="FB83" s="785"/>
      <c r="FC83" s="25"/>
      <c r="FD83" s="211"/>
      <c r="FE83" s="211"/>
      <c r="FF83" s="25"/>
      <c r="FG83" s="25"/>
      <c r="FH83" s="25"/>
      <c r="FI83" s="25"/>
      <c r="FJ83" s="776"/>
    </row>
    <row r="84" spans="1:166" s="208" customFormat="1" ht="15" customHeight="1">
      <c r="A84" s="777"/>
      <c r="B84" s="809"/>
      <c r="C84" s="216" t="s">
        <v>58</v>
      </c>
      <c r="D84" s="809"/>
      <c r="E84" s="809"/>
      <c r="F84" s="809"/>
      <c r="G84" s="457"/>
      <c r="H84" s="855"/>
      <c r="I84" s="856"/>
      <c r="J84" s="856"/>
      <c r="K84" s="857"/>
      <c r="L84" s="821"/>
      <c r="M84" s="858"/>
      <c r="N84" s="785"/>
      <c r="O84" s="782"/>
      <c r="P84" s="213" t="s">
        <v>58</v>
      </c>
      <c r="Q84" s="859"/>
      <c r="R84" s="859"/>
      <c r="S84" s="859"/>
      <c r="T84" s="219"/>
      <c r="U84" s="859"/>
      <c r="V84" s="811"/>
      <c r="W84" s="811"/>
      <c r="X84" s="812"/>
      <c r="Y84" s="813"/>
      <c r="Z84" s="814"/>
      <c r="AA84" s="25"/>
      <c r="AB84" s="815"/>
      <c r="AC84" s="213" t="s">
        <v>58</v>
      </c>
      <c r="AD84" s="859"/>
      <c r="AE84" s="859"/>
      <c r="AF84" s="859"/>
      <c r="AG84" s="219"/>
      <c r="AH84" s="859"/>
      <c r="AI84" s="811"/>
      <c r="AJ84" s="811"/>
      <c r="AK84" s="812"/>
      <c r="AL84" s="813"/>
      <c r="AM84" s="814"/>
      <c r="AN84" s="25"/>
      <c r="AO84" s="220"/>
      <c r="AP84" s="213" t="s">
        <v>58</v>
      </c>
      <c r="AQ84" s="859"/>
      <c r="AR84" s="859"/>
      <c r="AS84" s="859"/>
      <c r="AT84" s="219"/>
      <c r="AU84" s="859"/>
      <c r="AV84" s="811"/>
      <c r="AW84" s="811"/>
      <c r="AX84" s="812"/>
      <c r="AY84" s="813"/>
      <c r="AZ84" s="814"/>
      <c r="BA84" s="212"/>
      <c r="BB84" s="816"/>
      <c r="BC84" s="213" t="s">
        <v>58</v>
      </c>
      <c r="BD84" s="859"/>
      <c r="BE84" s="859"/>
      <c r="BF84" s="859"/>
      <c r="BG84" s="219"/>
      <c r="BH84" s="859"/>
      <c r="BI84" s="811"/>
      <c r="BJ84" s="811"/>
      <c r="BK84" s="812"/>
      <c r="BL84" s="813"/>
      <c r="BM84" s="814"/>
      <c r="BN84" s="25"/>
      <c r="BO84" s="817"/>
      <c r="BP84" s="213" t="s">
        <v>58</v>
      </c>
      <c r="BQ84" s="859"/>
      <c r="BR84" s="859"/>
      <c r="BS84" s="859"/>
      <c r="BT84" s="219"/>
      <c r="BU84" s="859"/>
      <c r="BV84" s="811"/>
      <c r="BW84" s="811"/>
      <c r="BX84" s="812"/>
      <c r="BY84" s="813"/>
      <c r="BZ84" s="814"/>
      <c r="CA84" s="25"/>
      <c r="CB84" s="788"/>
      <c r="CC84" s="213" t="s">
        <v>58</v>
      </c>
      <c r="CD84" s="859"/>
      <c r="CE84" s="859"/>
      <c r="CF84" s="859"/>
      <c r="CG84" s="219"/>
      <c r="CH84" s="859"/>
      <c r="CI84" s="811"/>
      <c r="CJ84" s="811"/>
      <c r="CK84" s="812"/>
      <c r="CL84" s="813"/>
      <c r="CM84" s="814"/>
      <c r="CN84" s="25"/>
      <c r="CO84" s="222"/>
      <c r="CP84" s="213" t="s">
        <v>58</v>
      </c>
      <c r="CQ84" s="859"/>
      <c r="CR84" s="859"/>
      <c r="CS84" s="859"/>
      <c r="CT84" s="219"/>
      <c r="CU84" s="859"/>
      <c r="CV84" s="811"/>
      <c r="CW84" s="811"/>
      <c r="CX84" s="812"/>
      <c r="CY84" s="813"/>
      <c r="CZ84" s="814"/>
      <c r="DA84" s="211"/>
      <c r="DB84" s="378"/>
      <c r="DC84" s="213" t="s">
        <v>58</v>
      </c>
      <c r="DD84" s="859"/>
      <c r="DE84" s="859"/>
      <c r="DF84" s="859"/>
      <c r="DG84" s="219"/>
      <c r="DH84" s="859"/>
      <c r="DI84" s="811"/>
      <c r="DJ84" s="811"/>
      <c r="DK84" s="812"/>
      <c r="DL84" s="813"/>
      <c r="DM84" s="814"/>
      <c r="DN84" s="211"/>
      <c r="DO84" s="223"/>
      <c r="DP84" s="213" t="s">
        <v>58</v>
      </c>
      <c r="DQ84" s="859"/>
      <c r="DR84" s="859"/>
      <c r="DS84" s="859"/>
      <c r="DT84" s="219"/>
      <c r="DU84" s="859"/>
      <c r="DV84" s="811"/>
      <c r="DW84" s="811"/>
      <c r="DX84" s="812"/>
      <c r="DY84" s="813"/>
      <c r="DZ84" s="814"/>
      <c r="EA84" s="25"/>
      <c r="EB84" s="224"/>
      <c r="EC84" s="213" t="s">
        <v>58</v>
      </c>
      <c r="ED84" s="859"/>
      <c r="EE84" s="859"/>
      <c r="EF84" s="859"/>
      <c r="EG84" s="219"/>
      <c r="EH84" s="859"/>
      <c r="EI84" s="811"/>
      <c r="EJ84" s="811"/>
      <c r="EK84" s="812"/>
      <c r="EL84" s="813"/>
      <c r="EM84" s="814"/>
      <c r="EN84" s="785"/>
      <c r="EO84" s="225"/>
      <c r="EP84" s="213" t="s">
        <v>58</v>
      </c>
      <c r="EQ84" s="859"/>
      <c r="ER84" s="859"/>
      <c r="ES84" s="859"/>
      <c r="ET84" s="219"/>
      <c r="EU84" s="859"/>
      <c r="EV84" s="811"/>
      <c r="EW84" s="811"/>
      <c r="EX84" s="812"/>
      <c r="EY84" s="813"/>
      <c r="EZ84" s="814"/>
      <c r="FA84" s="25"/>
      <c r="FB84" s="785"/>
      <c r="FC84" s="25"/>
      <c r="FD84" s="211"/>
      <c r="FE84" s="211"/>
      <c r="FF84" s="25"/>
      <c r="FG84" s="25"/>
      <c r="FH84" s="25"/>
      <c r="FI84" s="25"/>
      <c r="FJ84" s="776"/>
    </row>
    <row r="85" spans="1:166" s="208" customFormat="1" ht="15" customHeight="1">
      <c r="A85" s="777"/>
      <c r="B85" s="447"/>
      <c r="C85" s="772" t="s">
        <v>60</v>
      </c>
      <c r="D85" s="447">
        <f t="shared" ref="D85:G90" si="311">D31</f>
        <v>9951.7900000000009</v>
      </c>
      <c r="E85" s="447">
        <f t="shared" si="311"/>
        <v>9746.2000000000007</v>
      </c>
      <c r="F85" s="447">
        <f t="shared" si="311"/>
        <v>0</v>
      </c>
      <c r="G85" s="772">
        <f t="shared" si="311"/>
        <v>62.4</v>
      </c>
      <c r="H85" s="399">
        <f>+E85+F85-G85</f>
        <v>9683.8000000000011</v>
      </c>
      <c r="I85" s="779">
        <f>IF(E85=0,"-",H85/E85)</f>
        <v>0.99359750466848618</v>
      </c>
      <c r="J85" s="779">
        <f>IF(ISERROR(G85/E85),"-",G85/E85)</f>
        <v>6.4024953315138201E-3</v>
      </c>
      <c r="K85" s="770">
        <f t="shared" ref="K85:M90" si="312">K31</f>
        <v>205.59000000000015</v>
      </c>
      <c r="L85" s="772">
        <f t="shared" si="312"/>
        <v>62.399999999999636</v>
      </c>
      <c r="M85" s="780">
        <f t="shared" si="312"/>
        <v>267.98999999999978</v>
      </c>
      <c r="N85" s="785"/>
      <c r="O85" s="793"/>
      <c r="P85" s="772" t="s">
        <v>60</v>
      </c>
      <c r="Q85" s="853">
        <f t="shared" ref="Q85:T90" si="313">Q31+D85</f>
        <v>19956.080000000002</v>
      </c>
      <c r="R85" s="853">
        <f t="shared" si="313"/>
        <v>19492.400000000001</v>
      </c>
      <c r="S85" s="853">
        <f t="shared" si="313"/>
        <v>0</v>
      </c>
      <c r="T85" s="772">
        <f t="shared" si="313"/>
        <v>124.8</v>
      </c>
      <c r="U85" s="152">
        <f t="shared" ref="U85:U90" si="314">+R85+S85-T85</f>
        <v>19367.600000000002</v>
      </c>
      <c r="V85" s="818">
        <f>IF(R85=0,"-",U85/R85)</f>
        <v>0.99359750466848618</v>
      </c>
      <c r="W85" s="818">
        <f>IF(ISERROR(T85/R85),"-",T85/R85)</f>
        <v>6.4024953315138201E-3</v>
      </c>
      <c r="X85" s="781">
        <f>Q85-R85</f>
        <v>463.68000000000029</v>
      </c>
      <c r="Y85" s="785">
        <f t="shared" ref="Y85:Y90" si="315">R85-U85</f>
        <v>124.79999999999927</v>
      </c>
      <c r="Z85" s="777">
        <f>Q85-U85</f>
        <v>588.47999999999956</v>
      </c>
      <c r="AA85" s="25"/>
      <c r="AB85" s="783"/>
      <c r="AC85" s="772" t="s">
        <v>60</v>
      </c>
      <c r="AD85" s="853">
        <f t="shared" ref="AD85:AG90" si="316">AD31+Q85</f>
        <v>29313.43</v>
      </c>
      <c r="AE85" s="853">
        <f t="shared" si="316"/>
        <v>28656.400000000001</v>
      </c>
      <c r="AF85" s="853">
        <f t="shared" si="316"/>
        <v>0</v>
      </c>
      <c r="AG85" s="772">
        <f t="shared" si="316"/>
        <v>135.19999999999999</v>
      </c>
      <c r="AH85" s="152">
        <f>+AE85+AF85-AG85</f>
        <v>28521.200000000001</v>
      </c>
      <c r="AI85" s="818">
        <f>IF(AE85=0,"-",AH85/AE85)</f>
        <v>0.99528203123909487</v>
      </c>
      <c r="AJ85" s="818">
        <f>IF(ISERROR(AG85/AE85),"-",AG85/AE85)</f>
        <v>4.7179687609050676E-3</v>
      </c>
      <c r="AK85" s="781">
        <f>AD85-AE85</f>
        <v>657.02999999999884</v>
      </c>
      <c r="AL85" s="785">
        <f>AE85-AH85</f>
        <v>135.20000000000073</v>
      </c>
      <c r="AM85" s="777">
        <f>AD85-AH85</f>
        <v>792.22999999999956</v>
      </c>
      <c r="AN85" s="25"/>
      <c r="AO85" s="226"/>
      <c r="AP85" s="772" t="s">
        <v>60</v>
      </c>
      <c r="AQ85" s="853">
        <f t="shared" ref="AQ85:AT90" si="317">AQ31+AD85</f>
        <v>39048.080000000002</v>
      </c>
      <c r="AR85" s="853">
        <f t="shared" si="317"/>
        <v>38615.300000000003</v>
      </c>
      <c r="AS85" s="853">
        <f t="shared" si="317"/>
        <v>0</v>
      </c>
      <c r="AT85" s="772">
        <f t="shared" si="317"/>
        <v>149.5</v>
      </c>
      <c r="AU85" s="152">
        <f>+AR85+AS85-AT85</f>
        <v>38465.800000000003</v>
      </c>
      <c r="AV85" s="818">
        <f>IF(AR85=0,"-",AU85/AR85)</f>
        <v>0.99612847757236123</v>
      </c>
      <c r="AW85" s="818">
        <f>IF(ISERROR(AT85/AR85),"-",AT85/AR85)</f>
        <v>3.8715224276387856E-3</v>
      </c>
      <c r="AX85" s="781">
        <f>AQ85-AR85</f>
        <v>432.77999999999884</v>
      </c>
      <c r="AY85" s="785">
        <f>AR85-AU85</f>
        <v>149.5</v>
      </c>
      <c r="AZ85" s="777">
        <f>AQ85-AU85</f>
        <v>582.27999999999884</v>
      </c>
      <c r="BA85" s="459"/>
      <c r="BB85" s="786"/>
      <c r="BC85" s="772" t="s">
        <v>60</v>
      </c>
      <c r="BD85" s="853">
        <f t="shared" ref="BD85:BG90" si="318">BD31+AQ85</f>
        <v>48457.93</v>
      </c>
      <c r="BE85" s="853">
        <f t="shared" si="318"/>
        <v>38615.300000000003</v>
      </c>
      <c r="BF85" s="853">
        <f t="shared" si="318"/>
        <v>0</v>
      </c>
      <c r="BG85" s="772">
        <f t="shared" si="318"/>
        <v>149.5</v>
      </c>
      <c r="BH85" s="152">
        <f>+BE85+BF85-BG85</f>
        <v>38465.800000000003</v>
      </c>
      <c r="BI85" s="818">
        <f>IF(BE85=0,"-",BH85/BE85)</f>
        <v>0.99612847757236123</v>
      </c>
      <c r="BJ85" s="818">
        <f>IF(ISERROR(BG85/BE85),"-",BG85/BE85)</f>
        <v>3.8715224276387856E-3</v>
      </c>
      <c r="BK85" s="781">
        <f>BD85-BE85</f>
        <v>9842.6299999999974</v>
      </c>
      <c r="BL85" s="785">
        <f>BE85-BH85</f>
        <v>149.5</v>
      </c>
      <c r="BM85" s="777">
        <f>BD85-BH85</f>
        <v>9992.1299999999974</v>
      </c>
      <c r="BN85" s="25"/>
      <c r="BO85" s="787"/>
      <c r="BP85" s="772" t="s">
        <v>60</v>
      </c>
      <c r="BQ85" s="853">
        <f t="shared" ref="BQ85:BT90" si="319">BQ31+BD85</f>
        <v>58192.58</v>
      </c>
      <c r="BR85" s="853">
        <f t="shared" si="319"/>
        <v>38615.300000000003</v>
      </c>
      <c r="BS85" s="853">
        <f t="shared" si="319"/>
        <v>0</v>
      </c>
      <c r="BT85" s="772">
        <f t="shared" si="319"/>
        <v>149.5</v>
      </c>
      <c r="BU85" s="152">
        <f>+BR85+BS85-BT85</f>
        <v>38465.800000000003</v>
      </c>
      <c r="BV85" s="818">
        <f>IF(BR85=0,"-",BU85/BR85)</f>
        <v>0.99612847757236123</v>
      </c>
      <c r="BW85" s="818">
        <f>IF(ISERROR(BT85/BR85),"-",BT85/BR85)</f>
        <v>3.8715224276387856E-3</v>
      </c>
      <c r="BX85" s="781">
        <f>BQ85-BR85</f>
        <v>19577.28</v>
      </c>
      <c r="BY85" s="785">
        <f>BR85-BU85</f>
        <v>149.5</v>
      </c>
      <c r="BZ85" s="777">
        <f>BQ85-BU85</f>
        <v>19726.78</v>
      </c>
      <c r="CA85" s="25"/>
      <c r="CB85" s="794"/>
      <c r="CC85" s="772" t="s">
        <v>60</v>
      </c>
      <c r="CD85" s="853">
        <f t="shared" ref="CD85:CG90" si="320">CD31+BQ85</f>
        <v>67927.23</v>
      </c>
      <c r="CE85" s="853">
        <f t="shared" si="320"/>
        <v>38615.300000000003</v>
      </c>
      <c r="CF85" s="853">
        <f t="shared" si="320"/>
        <v>0</v>
      </c>
      <c r="CG85" s="772">
        <f t="shared" si="320"/>
        <v>149.5</v>
      </c>
      <c r="CH85" s="152">
        <f>+CE85+CF85-CG85</f>
        <v>38465.800000000003</v>
      </c>
      <c r="CI85" s="818">
        <f>IF(CE85=0,"-",CH85/CE85)</f>
        <v>0.99612847757236123</v>
      </c>
      <c r="CJ85" s="818">
        <f>IF(ISERROR(CG85/CE85),"-",CG85/CE85)</f>
        <v>3.8715224276387856E-3</v>
      </c>
      <c r="CK85" s="781">
        <f>CD85-CE85</f>
        <v>29311.929999999993</v>
      </c>
      <c r="CL85" s="785">
        <f>CE85-CH85</f>
        <v>149.5</v>
      </c>
      <c r="CM85" s="777">
        <f>CD85-CH85</f>
        <v>29461.429999999993</v>
      </c>
      <c r="CN85" s="25"/>
      <c r="CO85" s="227"/>
      <c r="CP85" s="772" t="s">
        <v>60</v>
      </c>
      <c r="CQ85" s="853">
        <f t="shared" ref="CQ85:CT90" si="321">CQ31+CD85</f>
        <v>77176.929999999993</v>
      </c>
      <c r="CR85" s="853">
        <f t="shared" si="321"/>
        <v>38615.300000000003</v>
      </c>
      <c r="CS85" s="853">
        <f t="shared" si="321"/>
        <v>0</v>
      </c>
      <c r="CT85" s="772">
        <f t="shared" si="321"/>
        <v>149.5</v>
      </c>
      <c r="CU85" s="152">
        <f>+CR85+CS85-CT85</f>
        <v>38465.800000000003</v>
      </c>
      <c r="CV85" s="818">
        <f>IF(CR85=0,"-",CU85/CR85)</f>
        <v>0.99612847757236123</v>
      </c>
      <c r="CW85" s="818">
        <f>IF(ISERROR(CT85/CR85),"-",CT85/CR85)</f>
        <v>3.8715224276387856E-3</v>
      </c>
      <c r="CX85" s="781">
        <f>CQ85-CR85</f>
        <v>38561.62999999999</v>
      </c>
      <c r="CY85" s="785">
        <f>CR85-CU85</f>
        <v>149.5</v>
      </c>
      <c r="CZ85" s="777">
        <f>CQ85-CU85</f>
        <v>38711.12999999999</v>
      </c>
      <c r="DA85" s="211"/>
      <c r="DB85" s="379"/>
      <c r="DC85" s="772" t="s">
        <v>60</v>
      </c>
      <c r="DD85" s="853">
        <f t="shared" ref="DD85:DG90" si="322">DD31+CQ85</f>
        <v>87128.72</v>
      </c>
      <c r="DE85" s="853">
        <f t="shared" si="322"/>
        <v>38615.300000000003</v>
      </c>
      <c r="DF85" s="853">
        <f t="shared" si="322"/>
        <v>0</v>
      </c>
      <c r="DG85" s="772">
        <f t="shared" si="322"/>
        <v>149.5</v>
      </c>
      <c r="DH85" s="152">
        <f>+DE85+DF85-DG85</f>
        <v>38465.800000000003</v>
      </c>
      <c r="DI85" s="818">
        <f>IF(DE85=0,"-",DH85/DE85)</f>
        <v>0.99612847757236123</v>
      </c>
      <c r="DJ85" s="818">
        <f>IF(ISERROR(DG85/DE85),"-",DG85/DE85)</f>
        <v>3.8715224276387856E-3</v>
      </c>
      <c r="DK85" s="781">
        <f>DD85-DE85</f>
        <v>48513.42</v>
      </c>
      <c r="DL85" s="785">
        <f>DE85-DH85</f>
        <v>149.5</v>
      </c>
      <c r="DM85" s="777">
        <f>DD85-DH85</f>
        <v>48662.92</v>
      </c>
      <c r="DN85" s="211"/>
      <c r="DO85" s="228"/>
      <c r="DP85" s="772" t="s">
        <v>60</v>
      </c>
      <c r="DQ85" s="853">
        <f t="shared" ref="DQ85:DT90" si="323">DQ31+DD85</f>
        <v>96920.36</v>
      </c>
      <c r="DR85" s="853">
        <f t="shared" si="323"/>
        <v>38615.300000000003</v>
      </c>
      <c r="DS85" s="853">
        <f t="shared" si="323"/>
        <v>0</v>
      </c>
      <c r="DT85" s="772">
        <f t="shared" si="323"/>
        <v>149.5</v>
      </c>
      <c r="DU85" s="152">
        <f>+DR85+DS85-DT85</f>
        <v>38465.800000000003</v>
      </c>
      <c r="DV85" s="818">
        <f>IF(DR85=0,"-",DU85/DR85)</f>
        <v>0.99612847757236123</v>
      </c>
      <c r="DW85" s="818">
        <f>IF(ISERROR(DT85/DR85),"-",DT85/DR85)</f>
        <v>3.8715224276387856E-3</v>
      </c>
      <c r="DX85" s="781">
        <f>DQ85-DR85</f>
        <v>58305.06</v>
      </c>
      <c r="DY85" s="785">
        <f>DR85-DU85</f>
        <v>149.5</v>
      </c>
      <c r="DZ85" s="777">
        <f>DQ85-DU85</f>
        <v>58454.559999999998</v>
      </c>
      <c r="EA85" s="25"/>
      <c r="EB85" s="229"/>
      <c r="EC85" s="772" t="s">
        <v>60</v>
      </c>
      <c r="ED85" s="853">
        <f t="shared" ref="ED85:EG90" si="324">ED31+DQ85</f>
        <v>106490.36</v>
      </c>
      <c r="EE85" s="853">
        <f t="shared" si="324"/>
        <v>38615.300000000003</v>
      </c>
      <c r="EF85" s="853">
        <f t="shared" si="324"/>
        <v>0</v>
      </c>
      <c r="EG85" s="772">
        <f t="shared" si="324"/>
        <v>149.5</v>
      </c>
      <c r="EH85" s="152">
        <f>+EE85+EF85-EG85</f>
        <v>38465.800000000003</v>
      </c>
      <c r="EI85" s="818">
        <f>IF(EE85=0,"-",EH85/EE85)</f>
        <v>0.99612847757236123</v>
      </c>
      <c r="EJ85" s="818">
        <f>IF(ISERROR(EG85/EE85),"-",EG85/EE85)</f>
        <v>3.8715224276387856E-3</v>
      </c>
      <c r="EK85" s="781">
        <f>ED85-EE85</f>
        <v>67875.06</v>
      </c>
      <c r="EL85" s="785">
        <f>EE85-EH85</f>
        <v>149.5</v>
      </c>
      <c r="EM85" s="777">
        <f>ED85-EH85</f>
        <v>68024.56</v>
      </c>
      <c r="EN85" s="785"/>
      <c r="EO85" s="230"/>
      <c r="EP85" s="772" t="s">
        <v>60</v>
      </c>
      <c r="EQ85" s="853">
        <f t="shared" ref="EQ85:ET90" si="325">EQ31+ED85</f>
        <v>116282</v>
      </c>
      <c r="ER85" s="853">
        <f t="shared" si="325"/>
        <v>38615.300000000003</v>
      </c>
      <c r="ES85" s="853">
        <f t="shared" si="325"/>
        <v>0</v>
      </c>
      <c r="ET85" s="772">
        <f t="shared" si="325"/>
        <v>149.5</v>
      </c>
      <c r="EU85" s="152">
        <f>+ER85+ES85-ET85</f>
        <v>38465.800000000003</v>
      </c>
      <c r="EV85" s="818">
        <f>IF(ER85=0,"-",EU85/ER85)</f>
        <v>0.99612847757236123</v>
      </c>
      <c r="EW85" s="818">
        <f>IF(ISERROR(ET85/ER85),"-",ET85/ER85)</f>
        <v>3.8715224276387856E-3</v>
      </c>
      <c r="EX85" s="781">
        <f>EQ85-ER85</f>
        <v>77666.7</v>
      </c>
      <c r="EY85" s="785">
        <f>ER85-EU85</f>
        <v>149.5</v>
      </c>
      <c r="EZ85" s="777">
        <f>EQ85-EU85</f>
        <v>77816.2</v>
      </c>
      <c r="FA85" s="25"/>
      <c r="FB85" s="785"/>
      <c r="FC85" s="25"/>
      <c r="FD85" s="211"/>
      <c r="FE85" s="211"/>
      <c r="FF85" s="25"/>
      <c r="FG85" s="25"/>
      <c r="FH85" s="25"/>
      <c r="FI85" s="25"/>
      <c r="FJ85" s="776"/>
    </row>
    <row r="86" spans="1:166" s="208" customFormat="1" ht="15" customHeight="1">
      <c r="A86" s="780"/>
      <c r="B86" s="447"/>
      <c r="C86" s="772" t="s">
        <v>61</v>
      </c>
      <c r="D86" s="447">
        <f t="shared" si="311"/>
        <v>18044.72</v>
      </c>
      <c r="E86" s="447">
        <f t="shared" si="311"/>
        <v>17601.8</v>
      </c>
      <c r="F86" s="447">
        <f t="shared" si="311"/>
        <v>0</v>
      </c>
      <c r="G86" s="772">
        <f t="shared" si="311"/>
        <v>86.6</v>
      </c>
      <c r="H86" s="399">
        <f t="shared" ref="H86:H90" si="326">+E86+F86-G86</f>
        <v>17515.2</v>
      </c>
      <c r="I86" s="779">
        <f t="shared" ref="I86:I91" si="327">IF(E86=0,"-",H86/E86)</f>
        <v>0.9950800486313901</v>
      </c>
      <c r="J86" s="779">
        <f t="shared" ref="J86:J90" si="328">IF(ISERROR(G86/E86),"-",G86/E86)</f>
        <v>4.9199513686100284E-3</v>
      </c>
      <c r="K86" s="770">
        <f t="shared" si="312"/>
        <v>442.92000000000189</v>
      </c>
      <c r="L86" s="772">
        <f t="shared" si="312"/>
        <v>86.599999999998545</v>
      </c>
      <c r="M86" s="780">
        <f t="shared" si="312"/>
        <v>529.52000000000044</v>
      </c>
      <c r="N86" s="785"/>
      <c r="O86" s="793"/>
      <c r="P86" s="772" t="s">
        <v>61</v>
      </c>
      <c r="Q86" s="853">
        <f t="shared" si="313"/>
        <v>36152.57</v>
      </c>
      <c r="R86" s="853">
        <f t="shared" si="313"/>
        <v>35265.1</v>
      </c>
      <c r="S86" s="853">
        <f t="shared" si="313"/>
        <v>0</v>
      </c>
      <c r="T86" s="772">
        <f t="shared" si="313"/>
        <v>145.89999999999998</v>
      </c>
      <c r="U86" s="152">
        <f t="shared" si="314"/>
        <v>35119.199999999997</v>
      </c>
      <c r="V86" s="818">
        <f t="shared" ref="V86:V90" si="329">IF(R86=0,"-",U86/R86)</f>
        <v>0.99586276517009731</v>
      </c>
      <c r="W86" s="818">
        <f t="shared" ref="W86:W90" si="330">IF(ISERROR(T86/R86),"-",T86/R86)</f>
        <v>4.137234829902651E-3</v>
      </c>
      <c r="X86" s="781">
        <f t="shared" ref="X86:X90" si="331">Q86-R86</f>
        <v>887.47000000000116</v>
      </c>
      <c r="Y86" s="785">
        <f t="shared" si="315"/>
        <v>145.90000000000146</v>
      </c>
      <c r="Z86" s="777">
        <f t="shared" ref="Z86:Z90" si="332">Q86-U86</f>
        <v>1033.3700000000026</v>
      </c>
      <c r="AA86" s="25"/>
      <c r="AB86" s="783"/>
      <c r="AC86" s="772" t="s">
        <v>61</v>
      </c>
      <c r="AD86" s="853">
        <f t="shared" si="316"/>
        <v>53174.25</v>
      </c>
      <c r="AE86" s="853">
        <f t="shared" si="316"/>
        <v>51869.1</v>
      </c>
      <c r="AF86" s="853">
        <f t="shared" si="316"/>
        <v>0</v>
      </c>
      <c r="AG86" s="772">
        <f t="shared" si="316"/>
        <v>225.7</v>
      </c>
      <c r="AH86" s="152">
        <f t="shared" ref="AH86:AH90" si="333">+AE86+AF86-AG86</f>
        <v>51643.4</v>
      </c>
      <c r="AI86" s="818">
        <f t="shared" ref="AI86:AI89" si="334">IF(AE86=0,"-",AH86/AE86)</f>
        <v>0.99564866172730981</v>
      </c>
      <c r="AJ86" s="818">
        <f t="shared" ref="AJ86:AJ90" si="335">IF(ISERROR(AG86/AE86),"-",AG86/AE86)</f>
        <v>4.3513382726902911E-3</v>
      </c>
      <c r="AK86" s="781">
        <f t="shared" ref="AK86:AK90" si="336">AD86-AE86</f>
        <v>1305.1500000000015</v>
      </c>
      <c r="AL86" s="785">
        <f t="shared" ref="AL86:AL90" si="337">AE86-AH86</f>
        <v>225.69999999999709</v>
      </c>
      <c r="AM86" s="777">
        <f t="shared" ref="AM86:AM90" si="338">AD86-AH86</f>
        <v>1530.8499999999985</v>
      </c>
      <c r="AN86" s="25"/>
      <c r="AO86" s="226"/>
      <c r="AP86" s="772" t="s">
        <v>61</v>
      </c>
      <c r="AQ86" s="853">
        <f t="shared" si="317"/>
        <v>70870.92</v>
      </c>
      <c r="AR86" s="853">
        <f t="shared" si="317"/>
        <v>69810.3</v>
      </c>
      <c r="AS86" s="853">
        <f t="shared" si="317"/>
        <v>0</v>
      </c>
      <c r="AT86" s="772">
        <f t="shared" si="317"/>
        <v>322.60000000000002</v>
      </c>
      <c r="AU86" s="152">
        <f t="shared" ref="AU86:AU90" si="339">+AR86+AS86-AT86</f>
        <v>69487.7</v>
      </c>
      <c r="AV86" s="818">
        <f t="shared" ref="AV86:AV91" si="340">IF(AR86=0,"-",AU86/AR86)</f>
        <v>0.99537890540507623</v>
      </c>
      <c r="AW86" s="818">
        <f t="shared" ref="AW86:AW90" si="341">IF(ISERROR(AT86/AR86),"-",AT86/AR86)</f>
        <v>4.621094594923672E-3</v>
      </c>
      <c r="AX86" s="781">
        <f t="shared" ref="AX86:AX90" si="342">AQ86-AR86</f>
        <v>1060.6199999999953</v>
      </c>
      <c r="AY86" s="785">
        <f t="shared" ref="AY86:AY90" si="343">AR86-AU86</f>
        <v>322.60000000000582</v>
      </c>
      <c r="AZ86" s="777">
        <f t="shared" ref="AZ86:AZ90" si="344">AQ86-AU86</f>
        <v>1383.2200000000012</v>
      </c>
      <c r="BA86" s="459"/>
      <c r="BB86" s="786"/>
      <c r="BC86" s="772" t="s">
        <v>61</v>
      </c>
      <c r="BD86" s="853">
        <f t="shared" si="318"/>
        <v>87955.73</v>
      </c>
      <c r="BE86" s="853">
        <f t="shared" si="318"/>
        <v>69810.3</v>
      </c>
      <c r="BF86" s="853">
        <f t="shared" si="318"/>
        <v>0</v>
      </c>
      <c r="BG86" s="772">
        <f t="shared" si="318"/>
        <v>322.60000000000002</v>
      </c>
      <c r="BH86" s="152">
        <f t="shared" ref="BH86:BH90" si="345">+BE86+BF86-BG86</f>
        <v>69487.7</v>
      </c>
      <c r="BI86" s="818">
        <f t="shared" ref="BI86:BI90" si="346">IF(BE86=0,"-",BH86/BE86)</f>
        <v>0.99537890540507623</v>
      </c>
      <c r="BJ86" s="818">
        <f t="shared" ref="BJ86:BJ90" si="347">IF(ISERROR(BG86/BE86),"-",BG86/BE86)</f>
        <v>4.621094594923672E-3</v>
      </c>
      <c r="BK86" s="781">
        <f t="shared" ref="BK86:BK90" si="348">BD86-BE86</f>
        <v>18145.429999999993</v>
      </c>
      <c r="BL86" s="785">
        <f t="shared" ref="BL86:BL90" si="349">BE86-BH86</f>
        <v>322.60000000000582</v>
      </c>
      <c r="BM86" s="777">
        <f t="shared" ref="BM86:BM90" si="350">BD86-BH86</f>
        <v>18468.03</v>
      </c>
      <c r="BN86" s="25"/>
      <c r="BO86" s="787"/>
      <c r="BP86" s="772" t="s">
        <v>61</v>
      </c>
      <c r="BQ86" s="853">
        <f t="shared" si="319"/>
        <v>105652.4</v>
      </c>
      <c r="BR86" s="853">
        <f t="shared" si="319"/>
        <v>69810.3</v>
      </c>
      <c r="BS86" s="853">
        <f t="shared" si="319"/>
        <v>0</v>
      </c>
      <c r="BT86" s="772">
        <f t="shared" si="319"/>
        <v>322.60000000000002</v>
      </c>
      <c r="BU86" s="152">
        <f t="shared" ref="BU86:BU90" si="351">+BR86+BS86-BT86</f>
        <v>69487.7</v>
      </c>
      <c r="BV86" s="818">
        <f t="shared" ref="BV86:BV90" si="352">IF(BR86=0,"-",BU86/BR86)</f>
        <v>0.99537890540507623</v>
      </c>
      <c r="BW86" s="818">
        <f t="shared" ref="BW86:BW90" si="353">IF(ISERROR(BT86/BR86),"-",BT86/BR86)</f>
        <v>4.621094594923672E-3</v>
      </c>
      <c r="BX86" s="781">
        <f t="shared" ref="BX86:BX90" si="354">BQ86-BR86</f>
        <v>35842.099999999991</v>
      </c>
      <c r="BY86" s="785">
        <f t="shared" ref="BY86:BY90" si="355">BR86-BU86</f>
        <v>322.60000000000582</v>
      </c>
      <c r="BZ86" s="777">
        <f t="shared" ref="BZ86:BZ90" si="356">BQ86-BU86</f>
        <v>36164.699999999997</v>
      </c>
      <c r="CA86" s="25"/>
      <c r="CB86" s="794"/>
      <c r="CC86" s="772" t="s">
        <v>61</v>
      </c>
      <c r="CD86" s="853">
        <f t="shared" si="320"/>
        <v>123349.06999999999</v>
      </c>
      <c r="CE86" s="853">
        <f t="shared" si="320"/>
        <v>69810.3</v>
      </c>
      <c r="CF86" s="853">
        <f t="shared" si="320"/>
        <v>0</v>
      </c>
      <c r="CG86" s="772">
        <f t="shared" si="320"/>
        <v>322.60000000000002</v>
      </c>
      <c r="CH86" s="152">
        <f t="shared" ref="CH86:CH90" si="357">+CE86+CF86-CG86</f>
        <v>69487.7</v>
      </c>
      <c r="CI86" s="818">
        <f t="shared" ref="CI86:CI89" si="358">IF(CE86=0,"-",CH86/CE86)</f>
        <v>0.99537890540507623</v>
      </c>
      <c r="CJ86" s="818">
        <f t="shared" ref="CJ86:CJ90" si="359">IF(ISERROR(CG86/CE86),"-",CG86/CE86)</f>
        <v>4.621094594923672E-3</v>
      </c>
      <c r="CK86" s="781">
        <f t="shared" ref="CK86:CK90" si="360">CD86-CE86</f>
        <v>53538.76999999999</v>
      </c>
      <c r="CL86" s="785">
        <f t="shared" ref="CL86:CL90" si="361">CE86-CH86</f>
        <v>322.60000000000582</v>
      </c>
      <c r="CM86" s="777">
        <f t="shared" ref="CM86:CM90" si="362">CD86-CH86</f>
        <v>53861.369999999995</v>
      </c>
      <c r="CN86" s="25"/>
      <c r="CO86" s="227"/>
      <c r="CP86" s="772" t="s">
        <v>61</v>
      </c>
      <c r="CQ86" s="853">
        <f t="shared" si="321"/>
        <v>140106.94999999998</v>
      </c>
      <c r="CR86" s="853">
        <f t="shared" si="321"/>
        <v>69810.3</v>
      </c>
      <c r="CS86" s="853">
        <f t="shared" si="321"/>
        <v>0</v>
      </c>
      <c r="CT86" s="772">
        <f t="shared" si="321"/>
        <v>322.60000000000002</v>
      </c>
      <c r="CU86" s="152">
        <f t="shared" ref="CU86:CU90" si="363">+CR86+CS86-CT86</f>
        <v>69487.7</v>
      </c>
      <c r="CV86" s="818">
        <f t="shared" ref="CV86:CV90" si="364">IF(CR86=0,"-",CU86/CR86)</f>
        <v>0.99537890540507623</v>
      </c>
      <c r="CW86" s="818">
        <f t="shared" ref="CW86:CW90" si="365">IF(ISERROR(CT86/CR86),"-",CT86/CR86)</f>
        <v>4.621094594923672E-3</v>
      </c>
      <c r="CX86" s="781">
        <f t="shared" ref="CX86:CX90" si="366">CQ86-CR86</f>
        <v>70296.64999999998</v>
      </c>
      <c r="CY86" s="785">
        <f t="shared" ref="CY86:CY90" si="367">CR86-CU86</f>
        <v>322.60000000000582</v>
      </c>
      <c r="CZ86" s="777">
        <f t="shared" ref="CZ86:CZ90" si="368">CQ86-CU86</f>
        <v>70619.249999999985</v>
      </c>
      <c r="DA86" s="211"/>
      <c r="DB86" s="379"/>
      <c r="DC86" s="772" t="s">
        <v>61</v>
      </c>
      <c r="DD86" s="853">
        <f t="shared" si="322"/>
        <v>158151.66999999998</v>
      </c>
      <c r="DE86" s="853">
        <f t="shared" si="322"/>
        <v>69810.3</v>
      </c>
      <c r="DF86" s="853">
        <f t="shared" si="322"/>
        <v>0</v>
      </c>
      <c r="DG86" s="772">
        <f t="shared" si="322"/>
        <v>322.60000000000002</v>
      </c>
      <c r="DH86" s="152">
        <f t="shared" ref="DH86:DH90" si="369">+DE86+DF86-DG86</f>
        <v>69487.7</v>
      </c>
      <c r="DI86" s="818">
        <f t="shared" ref="DI86:DI90" si="370">IF(DE86=0,"-",DH86/DE86)</f>
        <v>0.99537890540507623</v>
      </c>
      <c r="DJ86" s="818">
        <f t="shared" ref="DJ86:DJ90" si="371">IF(ISERROR(DG86/DE86),"-",DG86/DE86)</f>
        <v>4.621094594923672E-3</v>
      </c>
      <c r="DK86" s="781">
        <f t="shared" ref="DK86:DK90" si="372">DD86-DE86</f>
        <v>88341.369999999981</v>
      </c>
      <c r="DL86" s="785">
        <f t="shared" ref="DL86:DL90" si="373">DE86-DH86</f>
        <v>322.60000000000582</v>
      </c>
      <c r="DM86" s="777">
        <f t="shared" ref="DM86:DM90" si="374">DD86-DH86</f>
        <v>88663.969999999987</v>
      </c>
      <c r="DN86" s="211"/>
      <c r="DO86" s="228"/>
      <c r="DP86" s="772" t="s">
        <v>61</v>
      </c>
      <c r="DQ86" s="853">
        <f t="shared" si="323"/>
        <v>175869.44999999998</v>
      </c>
      <c r="DR86" s="853">
        <f t="shared" si="323"/>
        <v>69810.3</v>
      </c>
      <c r="DS86" s="853">
        <f t="shared" si="323"/>
        <v>0</v>
      </c>
      <c r="DT86" s="772">
        <f t="shared" si="323"/>
        <v>322.60000000000002</v>
      </c>
      <c r="DU86" s="152">
        <f t="shared" ref="DU86:DU90" si="375">+DR86+DS86-DT86</f>
        <v>69487.7</v>
      </c>
      <c r="DV86" s="818">
        <f t="shared" ref="DV86:DV90" si="376">IF(DR86=0,"-",DU86/DR86)</f>
        <v>0.99537890540507623</v>
      </c>
      <c r="DW86" s="818">
        <f t="shared" ref="DW86:DW90" si="377">IF(ISERROR(DT86/DR86),"-",DT86/DR86)</f>
        <v>4.621094594923672E-3</v>
      </c>
      <c r="DX86" s="781">
        <f t="shared" ref="DX86:DX90" si="378">DQ86-DR86</f>
        <v>106059.14999999998</v>
      </c>
      <c r="DY86" s="785">
        <f t="shared" ref="DY86:DY90" si="379">DR86-DU86</f>
        <v>322.60000000000582</v>
      </c>
      <c r="DZ86" s="777">
        <f t="shared" ref="DZ86:DZ90" si="380">DQ86-DU86</f>
        <v>106381.74999999999</v>
      </c>
      <c r="EA86" s="25"/>
      <c r="EB86" s="229"/>
      <c r="EC86" s="772" t="s">
        <v>61</v>
      </c>
      <c r="ED86" s="853">
        <f t="shared" si="324"/>
        <v>193281.19999999998</v>
      </c>
      <c r="EE86" s="853">
        <f t="shared" si="324"/>
        <v>69810.3</v>
      </c>
      <c r="EF86" s="853">
        <f t="shared" si="324"/>
        <v>0</v>
      </c>
      <c r="EG86" s="772">
        <f t="shared" si="324"/>
        <v>322.60000000000002</v>
      </c>
      <c r="EH86" s="152">
        <f t="shared" ref="EH86:EH90" si="381">+EE86+EF86-EG86</f>
        <v>69487.7</v>
      </c>
      <c r="EI86" s="818">
        <f t="shared" ref="EI86:EI90" si="382">IF(EE86=0,"-",EH86/EE86)</f>
        <v>0.99537890540507623</v>
      </c>
      <c r="EJ86" s="818">
        <f t="shared" ref="EJ86:EJ90" si="383">IF(ISERROR(EG86/EE86),"-",EG86/EE86)</f>
        <v>4.621094594923672E-3</v>
      </c>
      <c r="EK86" s="781">
        <f t="shared" ref="EK86:EK89" si="384">ED86-EE86</f>
        <v>123470.89999999998</v>
      </c>
      <c r="EL86" s="785">
        <f t="shared" ref="EL86:EL89" si="385">EE86-EH86</f>
        <v>322.60000000000582</v>
      </c>
      <c r="EM86" s="777">
        <f t="shared" ref="EM86:EM90" si="386">ED86-EH86</f>
        <v>123793.49999999999</v>
      </c>
      <c r="EN86" s="785"/>
      <c r="EO86" s="230"/>
      <c r="EP86" s="772" t="s">
        <v>61</v>
      </c>
      <c r="EQ86" s="853">
        <f t="shared" si="325"/>
        <v>210998.97999999998</v>
      </c>
      <c r="ER86" s="853">
        <f t="shared" si="325"/>
        <v>69810.3</v>
      </c>
      <c r="ES86" s="853">
        <f t="shared" si="325"/>
        <v>0</v>
      </c>
      <c r="ET86" s="772">
        <f t="shared" si="325"/>
        <v>322.60000000000002</v>
      </c>
      <c r="EU86" s="152">
        <f t="shared" ref="EU86:EU90" si="387">+ER86+ES86-ET86</f>
        <v>69487.7</v>
      </c>
      <c r="EV86" s="818">
        <f t="shared" ref="EV86:EV90" si="388">IF(ER86=0,"-",EU86/ER86)</f>
        <v>0.99537890540507623</v>
      </c>
      <c r="EW86" s="818">
        <f t="shared" ref="EW86:EW90" si="389">IF(ISERROR(ET86/ER86),"-",ET86/ER86)</f>
        <v>4.621094594923672E-3</v>
      </c>
      <c r="EX86" s="781">
        <f t="shared" ref="EX86:EX90" si="390">EQ86-ER86</f>
        <v>141188.68</v>
      </c>
      <c r="EY86" s="785">
        <f t="shared" ref="EY86:EY90" si="391">ER86-EU86</f>
        <v>322.60000000000582</v>
      </c>
      <c r="EZ86" s="777">
        <f t="shared" ref="EZ86:EZ90" si="392">EQ86-EU86</f>
        <v>141511.27999999997</v>
      </c>
      <c r="FA86" s="25"/>
      <c r="FB86" s="785"/>
      <c r="FC86" s="25"/>
      <c r="FD86" s="211"/>
      <c r="FE86" s="211"/>
      <c r="FF86" s="25"/>
      <c r="FG86" s="25"/>
      <c r="FH86" s="25"/>
      <c r="FI86" s="25"/>
      <c r="FJ86" s="776"/>
    </row>
    <row r="87" spans="1:166" s="208" customFormat="1" ht="15" customHeight="1">
      <c r="A87" s="780"/>
      <c r="B87" s="447"/>
      <c r="C87" s="772" t="s">
        <v>62</v>
      </c>
      <c r="D87" s="447">
        <f t="shared" si="311"/>
        <v>14385.53</v>
      </c>
      <c r="E87" s="447">
        <f t="shared" si="311"/>
        <v>14012.1</v>
      </c>
      <c r="F87" s="447">
        <f t="shared" si="311"/>
        <v>0</v>
      </c>
      <c r="G87" s="772">
        <f t="shared" si="311"/>
        <v>93.8</v>
      </c>
      <c r="H87" s="399">
        <f t="shared" si="326"/>
        <v>13918.300000000001</v>
      </c>
      <c r="I87" s="779">
        <f t="shared" si="327"/>
        <v>0.99330578571377603</v>
      </c>
      <c r="J87" s="779">
        <f t="shared" si="328"/>
        <v>6.6942142862240492E-3</v>
      </c>
      <c r="K87" s="770">
        <f t="shared" si="312"/>
        <v>373.43000000000029</v>
      </c>
      <c r="L87" s="772">
        <f t="shared" si="312"/>
        <v>93.799999999999272</v>
      </c>
      <c r="M87" s="780">
        <f t="shared" si="312"/>
        <v>467.22999999999956</v>
      </c>
      <c r="N87" s="785"/>
      <c r="O87" s="793"/>
      <c r="P87" s="772" t="s">
        <v>62</v>
      </c>
      <c r="Q87" s="853">
        <f t="shared" si="313"/>
        <v>28806.75</v>
      </c>
      <c r="R87" s="853">
        <f t="shared" si="313"/>
        <v>28130</v>
      </c>
      <c r="S87" s="853">
        <f t="shared" si="313"/>
        <v>0</v>
      </c>
      <c r="T87" s="772">
        <f t="shared" si="313"/>
        <v>129.6</v>
      </c>
      <c r="U87" s="152">
        <f t="shared" si="314"/>
        <v>28000.400000000001</v>
      </c>
      <c r="V87" s="818">
        <f t="shared" si="329"/>
        <v>0.99539281905439037</v>
      </c>
      <c r="W87" s="818">
        <f t="shared" si="330"/>
        <v>4.6071809456096693E-3</v>
      </c>
      <c r="X87" s="781">
        <f t="shared" si="331"/>
        <v>676.75</v>
      </c>
      <c r="Y87" s="785">
        <f t="shared" si="315"/>
        <v>129.59999999999854</v>
      </c>
      <c r="Z87" s="777">
        <f t="shared" si="332"/>
        <v>806.34999999999854</v>
      </c>
      <c r="AA87" s="25"/>
      <c r="AB87" s="783"/>
      <c r="AC87" s="772" t="s">
        <v>62</v>
      </c>
      <c r="AD87" s="853">
        <f t="shared" si="316"/>
        <v>42438.97</v>
      </c>
      <c r="AE87" s="853">
        <f t="shared" si="316"/>
        <v>41493.4</v>
      </c>
      <c r="AF87" s="853">
        <f t="shared" si="316"/>
        <v>0</v>
      </c>
      <c r="AG87" s="772">
        <f t="shared" si="316"/>
        <v>158.4</v>
      </c>
      <c r="AH87" s="152">
        <f t="shared" si="333"/>
        <v>41335</v>
      </c>
      <c r="AI87" s="818">
        <f t="shared" si="334"/>
        <v>0.99618252541368024</v>
      </c>
      <c r="AJ87" s="818">
        <f t="shared" si="335"/>
        <v>3.8174745863197523E-3</v>
      </c>
      <c r="AK87" s="781">
        <f t="shared" si="336"/>
        <v>945.56999999999971</v>
      </c>
      <c r="AL87" s="785">
        <f t="shared" si="337"/>
        <v>158.40000000000146</v>
      </c>
      <c r="AM87" s="777">
        <f t="shared" si="338"/>
        <v>1103.9700000000012</v>
      </c>
      <c r="AN87" s="25"/>
      <c r="AO87" s="226"/>
      <c r="AP87" s="772" t="s">
        <v>62</v>
      </c>
      <c r="AQ87" s="853">
        <f t="shared" si="317"/>
        <v>56596.75</v>
      </c>
      <c r="AR87" s="853">
        <f t="shared" si="317"/>
        <v>55728.800000000003</v>
      </c>
      <c r="AS87" s="853">
        <f t="shared" si="317"/>
        <v>0</v>
      </c>
      <c r="AT87" s="772">
        <f t="shared" si="317"/>
        <v>198.7</v>
      </c>
      <c r="AU87" s="152">
        <f t="shared" si="339"/>
        <v>55530.100000000006</v>
      </c>
      <c r="AV87" s="818">
        <f t="shared" si="340"/>
        <v>0.99643451859720655</v>
      </c>
      <c r="AW87" s="818">
        <f t="shared" si="341"/>
        <v>3.5654814027935283E-3</v>
      </c>
      <c r="AX87" s="781">
        <f t="shared" si="342"/>
        <v>867.94999999999709</v>
      </c>
      <c r="AY87" s="785">
        <f t="shared" si="343"/>
        <v>198.69999999999709</v>
      </c>
      <c r="AZ87" s="777">
        <f t="shared" si="344"/>
        <v>1066.6499999999942</v>
      </c>
      <c r="BA87" s="459"/>
      <c r="BB87" s="786"/>
      <c r="BC87" s="772" t="s">
        <v>62</v>
      </c>
      <c r="BD87" s="853">
        <f t="shared" si="318"/>
        <v>70264.66</v>
      </c>
      <c r="BE87" s="853">
        <f t="shared" si="318"/>
        <v>55728.800000000003</v>
      </c>
      <c r="BF87" s="853">
        <f t="shared" si="318"/>
        <v>0</v>
      </c>
      <c r="BG87" s="772">
        <f t="shared" si="318"/>
        <v>198.7</v>
      </c>
      <c r="BH87" s="152">
        <f t="shared" si="345"/>
        <v>55530.100000000006</v>
      </c>
      <c r="BI87" s="818">
        <f t="shared" si="346"/>
        <v>0.99643451859720655</v>
      </c>
      <c r="BJ87" s="818">
        <f t="shared" si="347"/>
        <v>3.5654814027935283E-3</v>
      </c>
      <c r="BK87" s="781">
        <f t="shared" si="348"/>
        <v>14535.86</v>
      </c>
      <c r="BL87" s="785">
        <f t="shared" si="349"/>
        <v>198.69999999999709</v>
      </c>
      <c r="BM87" s="777">
        <f t="shared" si="350"/>
        <v>14734.559999999998</v>
      </c>
      <c r="BN87" s="25"/>
      <c r="BO87" s="787"/>
      <c r="BP87" s="772" t="s">
        <v>62</v>
      </c>
      <c r="BQ87" s="853">
        <f t="shared" si="319"/>
        <v>84422.44</v>
      </c>
      <c r="BR87" s="853">
        <f t="shared" si="319"/>
        <v>55728.800000000003</v>
      </c>
      <c r="BS87" s="853">
        <f t="shared" si="319"/>
        <v>0</v>
      </c>
      <c r="BT87" s="772">
        <f t="shared" si="319"/>
        <v>198.7</v>
      </c>
      <c r="BU87" s="152">
        <f t="shared" si="351"/>
        <v>55530.100000000006</v>
      </c>
      <c r="BV87" s="818">
        <f t="shared" si="352"/>
        <v>0.99643451859720655</v>
      </c>
      <c r="BW87" s="818">
        <f t="shared" si="353"/>
        <v>3.5654814027935283E-3</v>
      </c>
      <c r="BX87" s="781">
        <f t="shared" si="354"/>
        <v>28693.64</v>
      </c>
      <c r="BY87" s="785">
        <f t="shared" si="355"/>
        <v>198.69999999999709</v>
      </c>
      <c r="BZ87" s="777">
        <f t="shared" si="356"/>
        <v>28892.339999999997</v>
      </c>
      <c r="CA87" s="25"/>
      <c r="CB87" s="794"/>
      <c r="CC87" s="772" t="s">
        <v>62</v>
      </c>
      <c r="CD87" s="853">
        <f t="shared" si="320"/>
        <v>98580.22</v>
      </c>
      <c r="CE87" s="853">
        <f t="shared" si="320"/>
        <v>55728.800000000003</v>
      </c>
      <c r="CF87" s="853">
        <f t="shared" si="320"/>
        <v>0</v>
      </c>
      <c r="CG87" s="772">
        <f t="shared" si="320"/>
        <v>198.7</v>
      </c>
      <c r="CH87" s="152">
        <f t="shared" si="357"/>
        <v>55530.100000000006</v>
      </c>
      <c r="CI87" s="818">
        <f t="shared" si="358"/>
        <v>0.99643451859720655</v>
      </c>
      <c r="CJ87" s="818">
        <f t="shared" si="359"/>
        <v>3.5654814027935283E-3</v>
      </c>
      <c r="CK87" s="781">
        <f t="shared" si="360"/>
        <v>42851.42</v>
      </c>
      <c r="CL87" s="785">
        <f t="shared" si="361"/>
        <v>198.69999999999709</v>
      </c>
      <c r="CM87" s="777">
        <f t="shared" si="362"/>
        <v>43050.119999999995</v>
      </c>
      <c r="CN87" s="25"/>
      <c r="CO87" s="227"/>
      <c r="CP87" s="772" t="s">
        <v>62</v>
      </c>
      <c r="CQ87" s="853">
        <f t="shared" si="321"/>
        <v>111950.32</v>
      </c>
      <c r="CR87" s="853">
        <f t="shared" si="321"/>
        <v>55728.800000000003</v>
      </c>
      <c r="CS87" s="853">
        <f t="shared" si="321"/>
        <v>0</v>
      </c>
      <c r="CT87" s="772">
        <f t="shared" si="321"/>
        <v>198.7</v>
      </c>
      <c r="CU87" s="152">
        <f t="shared" si="363"/>
        <v>55530.100000000006</v>
      </c>
      <c r="CV87" s="818">
        <f t="shared" si="364"/>
        <v>0.99643451859720655</v>
      </c>
      <c r="CW87" s="818">
        <f t="shared" si="365"/>
        <v>3.5654814027935283E-3</v>
      </c>
      <c r="CX87" s="781">
        <f t="shared" si="366"/>
        <v>56221.520000000004</v>
      </c>
      <c r="CY87" s="785">
        <f t="shared" si="367"/>
        <v>198.69999999999709</v>
      </c>
      <c r="CZ87" s="777">
        <f t="shared" si="368"/>
        <v>56420.22</v>
      </c>
      <c r="DA87" s="211"/>
      <c r="DB87" s="379"/>
      <c r="DC87" s="772" t="s">
        <v>62</v>
      </c>
      <c r="DD87" s="853">
        <f t="shared" si="322"/>
        <v>126335.85</v>
      </c>
      <c r="DE87" s="853">
        <f t="shared" si="322"/>
        <v>55728.800000000003</v>
      </c>
      <c r="DF87" s="853">
        <f t="shared" si="322"/>
        <v>0</v>
      </c>
      <c r="DG87" s="772">
        <f t="shared" si="322"/>
        <v>198.7</v>
      </c>
      <c r="DH87" s="152">
        <f t="shared" si="369"/>
        <v>55530.100000000006</v>
      </c>
      <c r="DI87" s="818">
        <f t="shared" si="370"/>
        <v>0.99643451859720655</v>
      </c>
      <c r="DJ87" s="818">
        <f t="shared" si="371"/>
        <v>3.5654814027935283E-3</v>
      </c>
      <c r="DK87" s="781">
        <f t="shared" si="372"/>
        <v>70607.05</v>
      </c>
      <c r="DL87" s="785">
        <f t="shared" si="373"/>
        <v>198.69999999999709</v>
      </c>
      <c r="DM87" s="777">
        <f t="shared" si="374"/>
        <v>70805.75</v>
      </c>
      <c r="DN87" s="211"/>
      <c r="DO87" s="228"/>
      <c r="DP87" s="772" t="s">
        <v>62</v>
      </c>
      <c r="DQ87" s="853">
        <f t="shared" si="323"/>
        <v>140423.56</v>
      </c>
      <c r="DR87" s="853">
        <f t="shared" si="323"/>
        <v>55728.800000000003</v>
      </c>
      <c r="DS87" s="853">
        <f t="shared" si="323"/>
        <v>0</v>
      </c>
      <c r="DT87" s="772">
        <f t="shared" si="323"/>
        <v>198.7</v>
      </c>
      <c r="DU87" s="152">
        <f t="shared" si="375"/>
        <v>55530.100000000006</v>
      </c>
      <c r="DV87" s="818">
        <f t="shared" si="376"/>
        <v>0.99643451859720655</v>
      </c>
      <c r="DW87" s="818">
        <f t="shared" si="377"/>
        <v>3.5654814027935283E-3</v>
      </c>
      <c r="DX87" s="781">
        <f t="shared" si="378"/>
        <v>84694.76</v>
      </c>
      <c r="DY87" s="785">
        <f t="shared" si="379"/>
        <v>198.69999999999709</v>
      </c>
      <c r="DZ87" s="777">
        <f t="shared" si="380"/>
        <v>84893.459999999992</v>
      </c>
      <c r="EA87" s="25"/>
      <c r="EB87" s="229"/>
      <c r="EC87" s="772" t="s">
        <v>62</v>
      </c>
      <c r="ED87" s="853">
        <f t="shared" si="324"/>
        <v>154389.29</v>
      </c>
      <c r="EE87" s="853">
        <f t="shared" si="324"/>
        <v>55728.800000000003</v>
      </c>
      <c r="EF87" s="853">
        <f t="shared" si="324"/>
        <v>0</v>
      </c>
      <c r="EG87" s="772">
        <f t="shared" si="324"/>
        <v>198.7</v>
      </c>
      <c r="EH87" s="152">
        <f t="shared" si="381"/>
        <v>55530.100000000006</v>
      </c>
      <c r="EI87" s="818">
        <f t="shared" si="382"/>
        <v>0.99643451859720655</v>
      </c>
      <c r="EJ87" s="818">
        <f t="shared" si="383"/>
        <v>3.5654814027935283E-3</v>
      </c>
      <c r="EK87" s="781">
        <f t="shared" si="384"/>
        <v>98660.49</v>
      </c>
      <c r="EL87" s="785">
        <f t="shared" si="385"/>
        <v>198.69999999999709</v>
      </c>
      <c r="EM87" s="777">
        <f t="shared" si="386"/>
        <v>98859.19</v>
      </c>
      <c r="EN87" s="785"/>
      <c r="EO87" s="230"/>
      <c r="EP87" s="772" t="s">
        <v>62</v>
      </c>
      <c r="EQ87" s="853">
        <f t="shared" si="325"/>
        <v>168477</v>
      </c>
      <c r="ER87" s="853">
        <f t="shared" si="325"/>
        <v>55728.800000000003</v>
      </c>
      <c r="ES87" s="853">
        <f t="shared" si="325"/>
        <v>0</v>
      </c>
      <c r="ET87" s="772">
        <f t="shared" si="325"/>
        <v>198.7</v>
      </c>
      <c r="EU87" s="152">
        <f t="shared" si="387"/>
        <v>55530.100000000006</v>
      </c>
      <c r="EV87" s="818">
        <f t="shared" si="388"/>
        <v>0.99643451859720655</v>
      </c>
      <c r="EW87" s="818">
        <f t="shared" si="389"/>
        <v>3.5654814027935283E-3</v>
      </c>
      <c r="EX87" s="781">
        <f t="shared" si="390"/>
        <v>112748.2</v>
      </c>
      <c r="EY87" s="785">
        <f t="shared" si="391"/>
        <v>198.69999999999709</v>
      </c>
      <c r="EZ87" s="777">
        <f t="shared" si="392"/>
        <v>112946.9</v>
      </c>
      <c r="FA87" s="25"/>
      <c r="FB87" s="785"/>
      <c r="FC87" s="25"/>
      <c r="FD87" s="211"/>
      <c r="FE87" s="211"/>
      <c r="FF87" s="25"/>
      <c r="FG87" s="25"/>
      <c r="FH87" s="25"/>
      <c r="FI87" s="25"/>
      <c r="FJ87" s="776"/>
    </row>
    <row r="88" spans="1:166" s="208" customFormat="1">
      <c r="A88" s="777"/>
      <c r="B88" s="447"/>
      <c r="C88" s="772" t="s">
        <v>64</v>
      </c>
      <c r="D88" s="447">
        <f t="shared" si="311"/>
        <v>1135</v>
      </c>
      <c r="E88" s="447">
        <f t="shared" si="311"/>
        <v>0</v>
      </c>
      <c r="F88" s="447">
        <f t="shared" si="311"/>
        <v>0</v>
      </c>
      <c r="G88" s="772">
        <f t="shared" si="311"/>
        <v>0</v>
      </c>
      <c r="H88" s="447">
        <f t="shared" si="326"/>
        <v>0</v>
      </c>
      <c r="I88" s="779" t="str">
        <f t="shared" si="327"/>
        <v>-</v>
      </c>
      <c r="J88" s="779" t="str">
        <f t="shared" si="328"/>
        <v>-</v>
      </c>
      <c r="K88" s="770">
        <f t="shared" si="312"/>
        <v>1135</v>
      </c>
      <c r="L88" s="772">
        <f t="shared" si="312"/>
        <v>0</v>
      </c>
      <c r="M88" s="780">
        <f t="shared" si="312"/>
        <v>1135</v>
      </c>
      <c r="N88" s="785"/>
      <c r="O88" s="793"/>
      <c r="P88" s="772" t="s">
        <v>64</v>
      </c>
      <c r="Q88" s="447">
        <f t="shared" si="313"/>
        <v>2275</v>
      </c>
      <c r="R88" s="447">
        <f t="shared" si="313"/>
        <v>0</v>
      </c>
      <c r="S88" s="447">
        <f t="shared" si="313"/>
        <v>0</v>
      </c>
      <c r="T88" s="772">
        <f t="shared" si="313"/>
        <v>0</v>
      </c>
      <c r="U88" s="152">
        <f t="shared" si="314"/>
        <v>0</v>
      </c>
      <c r="V88" s="818" t="str">
        <f t="shared" si="329"/>
        <v>-</v>
      </c>
      <c r="W88" s="818" t="str">
        <f t="shared" si="330"/>
        <v>-</v>
      </c>
      <c r="X88" s="781">
        <f t="shared" si="331"/>
        <v>2275</v>
      </c>
      <c r="Y88" s="785">
        <f t="shared" si="315"/>
        <v>0</v>
      </c>
      <c r="Z88" s="777">
        <f t="shared" si="332"/>
        <v>2275</v>
      </c>
      <c r="AA88" s="25"/>
      <c r="AB88" s="783"/>
      <c r="AC88" s="772" t="s">
        <v>64</v>
      </c>
      <c r="AD88" s="447">
        <f t="shared" si="316"/>
        <v>3347</v>
      </c>
      <c r="AE88" s="447">
        <f t="shared" si="316"/>
        <v>0</v>
      </c>
      <c r="AF88" s="447">
        <f t="shared" si="316"/>
        <v>0</v>
      </c>
      <c r="AG88" s="772">
        <f t="shared" si="316"/>
        <v>0</v>
      </c>
      <c r="AH88" s="152">
        <f t="shared" si="333"/>
        <v>0</v>
      </c>
      <c r="AI88" s="818" t="str">
        <f t="shared" si="334"/>
        <v>-</v>
      </c>
      <c r="AJ88" s="818" t="str">
        <f t="shared" si="335"/>
        <v>-</v>
      </c>
      <c r="AK88" s="781">
        <f t="shared" si="336"/>
        <v>3347</v>
      </c>
      <c r="AL88" s="785">
        <f t="shared" si="337"/>
        <v>0</v>
      </c>
      <c r="AM88" s="777">
        <f t="shared" si="338"/>
        <v>3347</v>
      </c>
      <c r="AN88" s="25"/>
      <c r="AO88" s="226"/>
      <c r="AP88" s="772" t="s">
        <v>64</v>
      </c>
      <c r="AQ88" s="447">
        <f t="shared" si="317"/>
        <v>4461</v>
      </c>
      <c r="AR88" s="447">
        <f t="shared" si="317"/>
        <v>0</v>
      </c>
      <c r="AS88" s="447">
        <f t="shared" si="317"/>
        <v>0</v>
      </c>
      <c r="AT88" s="772">
        <f t="shared" si="317"/>
        <v>0</v>
      </c>
      <c r="AU88" s="152">
        <f t="shared" si="339"/>
        <v>0</v>
      </c>
      <c r="AV88" s="818" t="str">
        <f t="shared" si="340"/>
        <v>-</v>
      </c>
      <c r="AW88" s="818" t="str">
        <f t="shared" si="341"/>
        <v>-</v>
      </c>
      <c r="AX88" s="781">
        <f t="shared" si="342"/>
        <v>4461</v>
      </c>
      <c r="AY88" s="785">
        <f t="shared" si="343"/>
        <v>0</v>
      </c>
      <c r="AZ88" s="777">
        <f t="shared" si="344"/>
        <v>4461</v>
      </c>
      <c r="BA88" s="459"/>
      <c r="BB88" s="786"/>
      <c r="BC88" s="772" t="s">
        <v>64</v>
      </c>
      <c r="BD88" s="447">
        <f t="shared" si="318"/>
        <v>5537</v>
      </c>
      <c r="BE88" s="447">
        <f t="shared" si="318"/>
        <v>0</v>
      </c>
      <c r="BF88" s="447">
        <f t="shared" si="318"/>
        <v>0</v>
      </c>
      <c r="BG88" s="772">
        <f t="shared" si="318"/>
        <v>0</v>
      </c>
      <c r="BH88" s="152">
        <f t="shared" si="345"/>
        <v>0</v>
      </c>
      <c r="BI88" s="818" t="str">
        <f t="shared" si="346"/>
        <v>-</v>
      </c>
      <c r="BJ88" s="818" t="str">
        <f t="shared" si="347"/>
        <v>-</v>
      </c>
      <c r="BK88" s="781">
        <f t="shared" si="348"/>
        <v>5537</v>
      </c>
      <c r="BL88" s="785">
        <f t="shared" si="349"/>
        <v>0</v>
      </c>
      <c r="BM88" s="777">
        <f t="shared" si="350"/>
        <v>5537</v>
      </c>
      <c r="BN88" s="25"/>
      <c r="BO88" s="787"/>
      <c r="BP88" s="772" t="s">
        <v>64</v>
      </c>
      <c r="BQ88" s="447">
        <f t="shared" si="319"/>
        <v>6651</v>
      </c>
      <c r="BR88" s="447">
        <f t="shared" si="319"/>
        <v>0</v>
      </c>
      <c r="BS88" s="447">
        <f t="shared" si="319"/>
        <v>0</v>
      </c>
      <c r="BT88" s="772">
        <f t="shared" si="319"/>
        <v>0</v>
      </c>
      <c r="BU88" s="152">
        <f t="shared" si="351"/>
        <v>0</v>
      </c>
      <c r="BV88" s="818" t="str">
        <f t="shared" si="352"/>
        <v>-</v>
      </c>
      <c r="BW88" s="818" t="str">
        <f t="shared" si="353"/>
        <v>-</v>
      </c>
      <c r="BX88" s="781">
        <f t="shared" si="354"/>
        <v>6651</v>
      </c>
      <c r="BY88" s="785">
        <f t="shared" si="355"/>
        <v>0</v>
      </c>
      <c r="BZ88" s="777">
        <f t="shared" si="356"/>
        <v>6651</v>
      </c>
      <c r="CA88" s="25"/>
      <c r="CB88" s="794"/>
      <c r="CC88" s="772" t="s">
        <v>64</v>
      </c>
      <c r="CD88" s="447">
        <f t="shared" si="320"/>
        <v>7765</v>
      </c>
      <c r="CE88" s="447">
        <f t="shared" si="320"/>
        <v>0</v>
      </c>
      <c r="CF88" s="447">
        <f t="shared" si="320"/>
        <v>0</v>
      </c>
      <c r="CG88" s="772">
        <f t="shared" si="320"/>
        <v>0</v>
      </c>
      <c r="CH88" s="152">
        <f t="shared" si="357"/>
        <v>0</v>
      </c>
      <c r="CI88" s="818" t="str">
        <f t="shared" si="358"/>
        <v>-</v>
      </c>
      <c r="CJ88" s="818" t="str">
        <f t="shared" si="359"/>
        <v>-</v>
      </c>
      <c r="CK88" s="781">
        <f t="shared" si="360"/>
        <v>7765</v>
      </c>
      <c r="CL88" s="785">
        <f t="shared" si="361"/>
        <v>0</v>
      </c>
      <c r="CM88" s="777">
        <f t="shared" si="362"/>
        <v>7765</v>
      </c>
      <c r="CN88" s="211"/>
      <c r="CO88" s="227"/>
      <c r="CP88" s="772" t="s">
        <v>64</v>
      </c>
      <c r="CQ88" s="447">
        <f t="shared" si="321"/>
        <v>8820</v>
      </c>
      <c r="CR88" s="447">
        <f t="shared" si="321"/>
        <v>0</v>
      </c>
      <c r="CS88" s="447">
        <f t="shared" si="321"/>
        <v>0</v>
      </c>
      <c r="CT88" s="772">
        <f t="shared" si="321"/>
        <v>0</v>
      </c>
      <c r="CU88" s="152">
        <f t="shared" si="363"/>
        <v>0</v>
      </c>
      <c r="CV88" s="818" t="str">
        <f t="shared" si="364"/>
        <v>-</v>
      </c>
      <c r="CW88" s="818" t="str">
        <f t="shared" si="365"/>
        <v>-</v>
      </c>
      <c r="CX88" s="781">
        <f t="shared" si="366"/>
        <v>8820</v>
      </c>
      <c r="CY88" s="785">
        <f t="shared" si="367"/>
        <v>0</v>
      </c>
      <c r="CZ88" s="777">
        <f t="shared" si="368"/>
        <v>8820</v>
      </c>
      <c r="DA88" s="211"/>
      <c r="DB88" s="379"/>
      <c r="DC88" s="772" t="s">
        <v>64</v>
      </c>
      <c r="DD88" s="447">
        <f t="shared" si="322"/>
        <v>9955</v>
      </c>
      <c r="DE88" s="447">
        <f t="shared" si="322"/>
        <v>0</v>
      </c>
      <c r="DF88" s="447">
        <f t="shared" si="322"/>
        <v>0</v>
      </c>
      <c r="DG88" s="772">
        <f t="shared" si="322"/>
        <v>0</v>
      </c>
      <c r="DH88" s="152">
        <f t="shared" si="369"/>
        <v>0</v>
      </c>
      <c r="DI88" s="818" t="str">
        <f t="shared" si="370"/>
        <v>-</v>
      </c>
      <c r="DJ88" s="818" t="str">
        <f t="shared" si="371"/>
        <v>-</v>
      </c>
      <c r="DK88" s="781">
        <f t="shared" si="372"/>
        <v>9955</v>
      </c>
      <c r="DL88" s="785">
        <f t="shared" si="373"/>
        <v>0</v>
      </c>
      <c r="DM88" s="777">
        <f t="shared" si="374"/>
        <v>9955</v>
      </c>
      <c r="DN88" s="211"/>
      <c r="DO88" s="228"/>
      <c r="DP88" s="772" t="s">
        <v>64</v>
      </c>
      <c r="DQ88" s="447">
        <f t="shared" si="323"/>
        <v>11070</v>
      </c>
      <c r="DR88" s="447">
        <f t="shared" si="323"/>
        <v>0</v>
      </c>
      <c r="DS88" s="447">
        <f t="shared" si="323"/>
        <v>0</v>
      </c>
      <c r="DT88" s="772">
        <f t="shared" si="323"/>
        <v>0</v>
      </c>
      <c r="DU88" s="152">
        <f t="shared" si="375"/>
        <v>0</v>
      </c>
      <c r="DV88" s="818" t="str">
        <f t="shared" si="376"/>
        <v>-</v>
      </c>
      <c r="DW88" s="818" t="str">
        <f t="shared" si="377"/>
        <v>-</v>
      </c>
      <c r="DX88" s="781">
        <f t="shared" si="378"/>
        <v>11070</v>
      </c>
      <c r="DY88" s="785">
        <f t="shared" si="379"/>
        <v>0</v>
      </c>
      <c r="DZ88" s="777">
        <f t="shared" si="380"/>
        <v>11070</v>
      </c>
      <c r="EA88" s="25"/>
      <c r="EB88" s="229"/>
      <c r="EC88" s="772" t="s">
        <v>64</v>
      </c>
      <c r="ED88" s="447">
        <f t="shared" si="324"/>
        <v>12167</v>
      </c>
      <c r="EE88" s="447">
        <f t="shared" si="324"/>
        <v>0</v>
      </c>
      <c r="EF88" s="447">
        <f t="shared" si="324"/>
        <v>0</v>
      </c>
      <c r="EG88" s="772">
        <f t="shared" si="324"/>
        <v>0</v>
      </c>
      <c r="EH88" s="152">
        <f t="shared" si="381"/>
        <v>0</v>
      </c>
      <c r="EI88" s="818" t="str">
        <f t="shared" si="382"/>
        <v>-</v>
      </c>
      <c r="EJ88" s="818" t="str">
        <f t="shared" si="383"/>
        <v>-</v>
      </c>
      <c r="EK88" s="781">
        <f t="shared" si="384"/>
        <v>12167</v>
      </c>
      <c r="EL88" s="785">
        <f t="shared" si="385"/>
        <v>0</v>
      </c>
      <c r="EM88" s="777">
        <f t="shared" si="386"/>
        <v>12167</v>
      </c>
      <c r="EN88" s="785"/>
      <c r="EO88" s="230"/>
      <c r="EP88" s="772" t="s">
        <v>64</v>
      </c>
      <c r="EQ88" s="447">
        <f t="shared" si="325"/>
        <v>13282</v>
      </c>
      <c r="ER88" s="447">
        <f t="shared" si="325"/>
        <v>0</v>
      </c>
      <c r="ES88" s="447">
        <f t="shared" si="325"/>
        <v>0</v>
      </c>
      <c r="ET88" s="772">
        <f t="shared" si="325"/>
        <v>0</v>
      </c>
      <c r="EU88" s="152">
        <f t="shared" si="387"/>
        <v>0</v>
      </c>
      <c r="EV88" s="818" t="str">
        <f t="shared" si="388"/>
        <v>-</v>
      </c>
      <c r="EW88" s="818" t="str">
        <f t="shared" si="389"/>
        <v>-</v>
      </c>
      <c r="EX88" s="781">
        <f t="shared" si="390"/>
        <v>13282</v>
      </c>
      <c r="EY88" s="785">
        <f t="shared" si="391"/>
        <v>0</v>
      </c>
      <c r="EZ88" s="777">
        <f t="shared" si="392"/>
        <v>13282</v>
      </c>
      <c r="FA88" s="25"/>
      <c r="FB88" s="25"/>
      <c r="FC88" s="785"/>
      <c r="FD88" s="25"/>
      <c r="FE88" s="211"/>
      <c r="FF88" s="211"/>
      <c r="FG88" s="25"/>
      <c r="FH88" s="25"/>
      <c r="FI88" s="25"/>
      <c r="FJ88" s="25"/>
    </row>
    <row r="89" spans="1:166" s="208" customFormat="1">
      <c r="A89" s="777"/>
      <c r="B89" s="447"/>
      <c r="C89" s="772" t="s">
        <v>66</v>
      </c>
      <c r="D89" s="447">
        <f t="shared" si="311"/>
        <v>126</v>
      </c>
      <c r="E89" s="447">
        <f t="shared" si="311"/>
        <v>0</v>
      </c>
      <c r="F89" s="447">
        <f t="shared" si="311"/>
        <v>0</v>
      </c>
      <c r="G89" s="772">
        <f t="shared" si="311"/>
        <v>0</v>
      </c>
      <c r="H89" s="447">
        <f t="shared" si="326"/>
        <v>0</v>
      </c>
      <c r="I89" s="779" t="str">
        <f t="shared" si="327"/>
        <v>-</v>
      </c>
      <c r="J89" s="779" t="str">
        <f t="shared" si="328"/>
        <v>-</v>
      </c>
      <c r="K89" s="770">
        <f t="shared" si="312"/>
        <v>126</v>
      </c>
      <c r="L89" s="772">
        <f t="shared" si="312"/>
        <v>0</v>
      </c>
      <c r="M89" s="780">
        <f t="shared" si="312"/>
        <v>126</v>
      </c>
      <c r="N89" s="785"/>
      <c r="O89" s="793"/>
      <c r="P89" s="772" t="s">
        <v>66</v>
      </c>
      <c r="Q89" s="447">
        <f t="shared" si="313"/>
        <v>252</v>
      </c>
      <c r="R89" s="447">
        <f t="shared" si="313"/>
        <v>0</v>
      </c>
      <c r="S89" s="447">
        <f t="shared" si="313"/>
        <v>0</v>
      </c>
      <c r="T89" s="772">
        <f t="shared" si="313"/>
        <v>0</v>
      </c>
      <c r="U89" s="152">
        <f t="shared" si="314"/>
        <v>0</v>
      </c>
      <c r="V89" s="818" t="str">
        <f t="shared" si="329"/>
        <v>-</v>
      </c>
      <c r="W89" s="818" t="str">
        <f t="shared" si="330"/>
        <v>-</v>
      </c>
      <c r="X89" s="781">
        <f t="shared" si="331"/>
        <v>252</v>
      </c>
      <c r="Y89" s="785">
        <f t="shared" si="315"/>
        <v>0</v>
      </c>
      <c r="Z89" s="777">
        <f t="shared" si="332"/>
        <v>252</v>
      </c>
      <c r="AA89" s="25"/>
      <c r="AB89" s="783"/>
      <c r="AC89" s="772" t="s">
        <v>66</v>
      </c>
      <c r="AD89" s="447">
        <f t="shared" si="316"/>
        <v>371</v>
      </c>
      <c r="AE89" s="447">
        <f t="shared" si="316"/>
        <v>0</v>
      </c>
      <c r="AF89" s="447">
        <f t="shared" si="316"/>
        <v>0</v>
      </c>
      <c r="AG89" s="772">
        <f t="shared" si="316"/>
        <v>0</v>
      </c>
      <c r="AH89" s="152">
        <f t="shared" si="333"/>
        <v>0</v>
      </c>
      <c r="AI89" s="818" t="str">
        <f t="shared" si="334"/>
        <v>-</v>
      </c>
      <c r="AJ89" s="818" t="str">
        <f t="shared" si="335"/>
        <v>-</v>
      </c>
      <c r="AK89" s="781">
        <f t="shared" si="336"/>
        <v>371</v>
      </c>
      <c r="AL89" s="785">
        <f t="shared" si="337"/>
        <v>0</v>
      </c>
      <c r="AM89" s="777">
        <f t="shared" si="338"/>
        <v>371</v>
      </c>
      <c r="AN89" s="25"/>
      <c r="AO89" s="226"/>
      <c r="AP89" s="772" t="s">
        <v>66</v>
      </c>
      <c r="AQ89" s="447">
        <f t="shared" si="317"/>
        <v>494</v>
      </c>
      <c r="AR89" s="447">
        <f t="shared" si="317"/>
        <v>0</v>
      </c>
      <c r="AS89" s="447">
        <f t="shared" si="317"/>
        <v>0</v>
      </c>
      <c r="AT89" s="772">
        <f t="shared" si="317"/>
        <v>0</v>
      </c>
      <c r="AU89" s="152">
        <f t="shared" si="339"/>
        <v>0</v>
      </c>
      <c r="AV89" s="818" t="str">
        <f t="shared" si="340"/>
        <v>-</v>
      </c>
      <c r="AW89" s="818" t="str">
        <f t="shared" si="341"/>
        <v>-</v>
      </c>
      <c r="AX89" s="781">
        <f t="shared" si="342"/>
        <v>494</v>
      </c>
      <c r="AY89" s="785">
        <f t="shared" si="343"/>
        <v>0</v>
      </c>
      <c r="AZ89" s="777">
        <f t="shared" si="344"/>
        <v>494</v>
      </c>
      <c r="BA89" s="459"/>
      <c r="BB89" s="786"/>
      <c r="BC89" s="772" t="s">
        <v>66</v>
      </c>
      <c r="BD89" s="447">
        <f t="shared" si="318"/>
        <v>613</v>
      </c>
      <c r="BE89" s="447">
        <f t="shared" si="318"/>
        <v>0</v>
      </c>
      <c r="BF89" s="447">
        <f t="shared" si="318"/>
        <v>0</v>
      </c>
      <c r="BG89" s="772">
        <f t="shared" si="318"/>
        <v>0</v>
      </c>
      <c r="BH89" s="152">
        <f t="shared" si="345"/>
        <v>0</v>
      </c>
      <c r="BI89" s="818" t="str">
        <f t="shared" si="346"/>
        <v>-</v>
      </c>
      <c r="BJ89" s="818" t="str">
        <f t="shared" si="347"/>
        <v>-</v>
      </c>
      <c r="BK89" s="781">
        <f t="shared" si="348"/>
        <v>613</v>
      </c>
      <c r="BL89" s="785">
        <f t="shared" si="349"/>
        <v>0</v>
      </c>
      <c r="BM89" s="777">
        <f t="shared" si="350"/>
        <v>613</v>
      </c>
      <c r="BN89" s="25"/>
      <c r="BO89" s="787"/>
      <c r="BP89" s="772" t="s">
        <v>66</v>
      </c>
      <c r="BQ89" s="447">
        <f t="shared" si="319"/>
        <v>736</v>
      </c>
      <c r="BR89" s="447">
        <f t="shared" si="319"/>
        <v>0</v>
      </c>
      <c r="BS89" s="447">
        <f t="shared" si="319"/>
        <v>0</v>
      </c>
      <c r="BT89" s="772">
        <f t="shared" si="319"/>
        <v>0</v>
      </c>
      <c r="BU89" s="152">
        <f t="shared" si="351"/>
        <v>0</v>
      </c>
      <c r="BV89" s="818" t="str">
        <f t="shared" si="352"/>
        <v>-</v>
      </c>
      <c r="BW89" s="818" t="str">
        <f t="shared" si="353"/>
        <v>-</v>
      </c>
      <c r="BX89" s="781">
        <f t="shared" si="354"/>
        <v>736</v>
      </c>
      <c r="BY89" s="785">
        <f t="shared" si="355"/>
        <v>0</v>
      </c>
      <c r="BZ89" s="777">
        <f t="shared" si="356"/>
        <v>736</v>
      </c>
      <c r="CA89" s="25"/>
      <c r="CB89" s="794"/>
      <c r="CC89" s="772" t="s">
        <v>66</v>
      </c>
      <c r="CD89" s="447">
        <f t="shared" si="320"/>
        <v>859</v>
      </c>
      <c r="CE89" s="447">
        <f t="shared" si="320"/>
        <v>0</v>
      </c>
      <c r="CF89" s="447">
        <f t="shared" si="320"/>
        <v>0</v>
      </c>
      <c r="CG89" s="772">
        <f t="shared" si="320"/>
        <v>0</v>
      </c>
      <c r="CH89" s="152">
        <f t="shared" si="357"/>
        <v>0</v>
      </c>
      <c r="CI89" s="818" t="str">
        <f t="shared" si="358"/>
        <v>-</v>
      </c>
      <c r="CJ89" s="818" t="str">
        <f t="shared" si="359"/>
        <v>-</v>
      </c>
      <c r="CK89" s="781">
        <f t="shared" si="360"/>
        <v>859</v>
      </c>
      <c r="CL89" s="785">
        <f t="shared" si="361"/>
        <v>0</v>
      </c>
      <c r="CM89" s="777">
        <f t="shared" si="362"/>
        <v>859</v>
      </c>
      <c r="CN89" s="211"/>
      <c r="CO89" s="227"/>
      <c r="CP89" s="772" t="s">
        <v>66</v>
      </c>
      <c r="CQ89" s="447">
        <f t="shared" si="321"/>
        <v>976</v>
      </c>
      <c r="CR89" s="447">
        <f t="shared" si="321"/>
        <v>0</v>
      </c>
      <c r="CS89" s="447">
        <f t="shared" si="321"/>
        <v>0</v>
      </c>
      <c r="CT89" s="772">
        <f t="shared" si="321"/>
        <v>0</v>
      </c>
      <c r="CU89" s="152">
        <f t="shared" si="363"/>
        <v>0</v>
      </c>
      <c r="CV89" s="818" t="str">
        <f t="shared" si="364"/>
        <v>-</v>
      </c>
      <c r="CW89" s="818" t="str">
        <f t="shared" si="365"/>
        <v>-</v>
      </c>
      <c r="CX89" s="781">
        <f t="shared" si="366"/>
        <v>976</v>
      </c>
      <c r="CY89" s="785">
        <f t="shared" si="367"/>
        <v>0</v>
      </c>
      <c r="CZ89" s="777">
        <f t="shared" si="368"/>
        <v>976</v>
      </c>
      <c r="DA89" s="211"/>
      <c r="DB89" s="379"/>
      <c r="DC89" s="772" t="s">
        <v>66</v>
      </c>
      <c r="DD89" s="447">
        <f t="shared" si="322"/>
        <v>1102</v>
      </c>
      <c r="DE89" s="447">
        <f t="shared" si="322"/>
        <v>0</v>
      </c>
      <c r="DF89" s="447">
        <f t="shared" si="322"/>
        <v>0</v>
      </c>
      <c r="DG89" s="772">
        <f t="shared" si="322"/>
        <v>0</v>
      </c>
      <c r="DH89" s="152">
        <f t="shared" si="369"/>
        <v>0</v>
      </c>
      <c r="DI89" s="818" t="str">
        <f t="shared" si="370"/>
        <v>-</v>
      </c>
      <c r="DJ89" s="818" t="str">
        <f t="shared" si="371"/>
        <v>-</v>
      </c>
      <c r="DK89" s="781">
        <f t="shared" si="372"/>
        <v>1102</v>
      </c>
      <c r="DL89" s="785">
        <f t="shared" si="373"/>
        <v>0</v>
      </c>
      <c r="DM89" s="777">
        <f t="shared" si="374"/>
        <v>1102</v>
      </c>
      <c r="DN89" s="211"/>
      <c r="DO89" s="228"/>
      <c r="DP89" s="772" t="s">
        <v>66</v>
      </c>
      <c r="DQ89" s="447">
        <f t="shared" si="323"/>
        <v>1226</v>
      </c>
      <c r="DR89" s="447">
        <f t="shared" si="323"/>
        <v>0</v>
      </c>
      <c r="DS89" s="447">
        <f t="shared" si="323"/>
        <v>0</v>
      </c>
      <c r="DT89" s="772">
        <f t="shared" si="323"/>
        <v>0</v>
      </c>
      <c r="DU89" s="152">
        <f t="shared" si="375"/>
        <v>0</v>
      </c>
      <c r="DV89" s="818" t="str">
        <f t="shared" si="376"/>
        <v>-</v>
      </c>
      <c r="DW89" s="818" t="str">
        <f t="shared" si="377"/>
        <v>-</v>
      </c>
      <c r="DX89" s="781">
        <f t="shared" si="378"/>
        <v>1226</v>
      </c>
      <c r="DY89" s="785">
        <f t="shared" si="379"/>
        <v>0</v>
      </c>
      <c r="DZ89" s="777">
        <f t="shared" si="380"/>
        <v>1226</v>
      </c>
      <c r="EA89" s="25"/>
      <c r="EB89" s="229"/>
      <c r="EC89" s="772" t="s">
        <v>66</v>
      </c>
      <c r="ED89" s="447">
        <f t="shared" si="324"/>
        <v>1348</v>
      </c>
      <c r="EE89" s="447">
        <f t="shared" si="324"/>
        <v>0</v>
      </c>
      <c r="EF89" s="447">
        <f t="shared" si="324"/>
        <v>0</v>
      </c>
      <c r="EG89" s="772">
        <f t="shared" si="324"/>
        <v>0</v>
      </c>
      <c r="EH89" s="152">
        <f t="shared" si="381"/>
        <v>0</v>
      </c>
      <c r="EI89" s="818" t="str">
        <f t="shared" si="382"/>
        <v>-</v>
      </c>
      <c r="EJ89" s="818" t="str">
        <f t="shared" si="383"/>
        <v>-</v>
      </c>
      <c r="EK89" s="781">
        <f t="shared" si="384"/>
        <v>1348</v>
      </c>
      <c r="EL89" s="785">
        <f t="shared" si="385"/>
        <v>0</v>
      </c>
      <c r="EM89" s="777">
        <f t="shared" si="386"/>
        <v>1348</v>
      </c>
      <c r="EN89" s="785"/>
      <c r="EO89" s="230"/>
      <c r="EP89" s="772" t="s">
        <v>66</v>
      </c>
      <c r="EQ89" s="447">
        <f t="shared" si="325"/>
        <v>1472</v>
      </c>
      <c r="ER89" s="447">
        <f t="shared" si="325"/>
        <v>0</v>
      </c>
      <c r="ES89" s="447">
        <f t="shared" si="325"/>
        <v>0</v>
      </c>
      <c r="ET89" s="772">
        <f t="shared" si="325"/>
        <v>0</v>
      </c>
      <c r="EU89" s="152">
        <f t="shared" si="387"/>
        <v>0</v>
      </c>
      <c r="EV89" s="818" t="str">
        <f t="shared" si="388"/>
        <v>-</v>
      </c>
      <c r="EW89" s="818" t="str">
        <f t="shared" si="389"/>
        <v>-</v>
      </c>
      <c r="EX89" s="781">
        <f t="shared" si="390"/>
        <v>1472</v>
      </c>
      <c r="EY89" s="785">
        <f t="shared" si="391"/>
        <v>0</v>
      </c>
      <c r="EZ89" s="777">
        <f t="shared" si="392"/>
        <v>1472</v>
      </c>
      <c r="FA89" s="25"/>
      <c r="FB89" s="25"/>
      <c r="FC89" s="785"/>
      <c r="FD89" s="25"/>
      <c r="FE89" s="211"/>
      <c r="FF89" s="211"/>
      <c r="FG89" s="25"/>
      <c r="FH89" s="25"/>
      <c r="FI89" s="25"/>
      <c r="FJ89" s="25"/>
    </row>
    <row r="90" spans="1:166" s="208" customFormat="1" ht="13.5" thickBot="1">
      <c r="A90" s="777"/>
      <c r="B90" s="447"/>
      <c r="C90" s="772" t="s">
        <v>67</v>
      </c>
      <c r="D90" s="447">
        <f t="shared" si="311"/>
        <v>319</v>
      </c>
      <c r="E90" s="447">
        <f t="shared" si="311"/>
        <v>0</v>
      </c>
      <c r="F90" s="447">
        <f t="shared" si="311"/>
        <v>0</v>
      </c>
      <c r="G90" s="772">
        <f t="shared" si="311"/>
        <v>0</v>
      </c>
      <c r="H90" s="447">
        <f t="shared" si="326"/>
        <v>0</v>
      </c>
      <c r="I90" s="779" t="str">
        <f>IF(E90=0,"-",H90/E90)</f>
        <v>-</v>
      </c>
      <c r="J90" s="779" t="str">
        <f t="shared" si="328"/>
        <v>-</v>
      </c>
      <c r="K90" s="770">
        <f t="shared" si="312"/>
        <v>319</v>
      </c>
      <c r="L90" s="772">
        <f t="shared" si="312"/>
        <v>0</v>
      </c>
      <c r="M90" s="780">
        <f t="shared" si="312"/>
        <v>319</v>
      </c>
      <c r="N90" s="785"/>
      <c r="O90" s="793"/>
      <c r="P90" s="819" t="s">
        <v>67</v>
      </c>
      <c r="Q90" s="853">
        <f>+Q36+D90</f>
        <v>639</v>
      </c>
      <c r="R90" s="447">
        <f t="shared" si="313"/>
        <v>0</v>
      </c>
      <c r="S90" s="447">
        <f t="shared" si="313"/>
        <v>0</v>
      </c>
      <c r="T90" s="772">
        <f t="shared" si="313"/>
        <v>0</v>
      </c>
      <c r="U90" s="152">
        <f t="shared" si="314"/>
        <v>0</v>
      </c>
      <c r="V90" s="818" t="str">
        <f t="shared" si="329"/>
        <v>-</v>
      </c>
      <c r="W90" s="818" t="str">
        <f t="shared" si="330"/>
        <v>-</v>
      </c>
      <c r="X90" s="781">
        <f t="shared" si="331"/>
        <v>639</v>
      </c>
      <c r="Y90" s="860">
        <f t="shared" si="315"/>
        <v>0</v>
      </c>
      <c r="Z90" s="777">
        <f t="shared" si="332"/>
        <v>639</v>
      </c>
      <c r="AA90" s="25"/>
      <c r="AB90" s="783"/>
      <c r="AC90" s="772" t="s">
        <v>67</v>
      </c>
      <c r="AD90" s="853">
        <f t="shared" si="316"/>
        <v>940</v>
      </c>
      <c r="AE90" s="447">
        <f t="shared" si="316"/>
        <v>0</v>
      </c>
      <c r="AF90" s="447">
        <f t="shared" si="316"/>
        <v>0</v>
      </c>
      <c r="AG90" s="772">
        <f t="shared" si="316"/>
        <v>0</v>
      </c>
      <c r="AH90" s="152">
        <f t="shared" si="333"/>
        <v>0</v>
      </c>
      <c r="AI90" s="779" t="str">
        <f>IF(AE90=0,"-",AH90/AE90)</f>
        <v>-</v>
      </c>
      <c r="AJ90" s="818" t="str">
        <f t="shared" si="335"/>
        <v>-</v>
      </c>
      <c r="AK90" s="861">
        <f t="shared" si="336"/>
        <v>940</v>
      </c>
      <c r="AL90" s="860">
        <f t="shared" si="337"/>
        <v>0</v>
      </c>
      <c r="AM90" s="862">
        <f t="shared" si="338"/>
        <v>940</v>
      </c>
      <c r="AN90" s="25"/>
      <c r="AO90" s="226"/>
      <c r="AP90" s="772" t="s">
        <v>67</v>
      </c>
      <c r="AQ90" s="853">
        <f t="shared" si="317"/>
        <v>1253</v>
      </c>
      <c r="AR90" s="447">
        <f t="shared" si="317"/>
        <v>0</v>
      </c>
      <c r="AS90" s="447">
        <f t="shared" si="317"/>
        <v>0</v>
      </c>
      <c r="AT90" s="772">
        <f t="shared" si="317"/>
        <v>0</v>
      </c>
      <c r="AU90" s="152">
        <f t="shared" si="339"/>
        <v>0</v>
      </c>
      <c r="AV90" s="779" t="str">
        <f>IF(AR90=0,"-",AU90/AR90)</f>
        <v>-</v>
      </c>
      <c r="AW90" s="818" t="str">
        <f t="shared" si="341"/>
        <v>-</v>
      </c>
      <c r="AX90" s="861">
        <f t="shared" si="342"/>
        <v>1253</v>
      </c>
      <c r="AY90" s="860">
        <f t="shared" si="343"/>
        <v>0</v>
      </c>
      <c r="AZ90" s="862">
        <f t="shared" si="344"/>
        <v>1253</v>
      </c>
      <c r="BA90" s="459"/>
      <c r="BB90" s="786"/>
      <c r="BC90" s="772" t="s">
        <v>67</v>
      </c>
      <c r="BD90" s="853">
        <f t="shared" si="318"/>
        <v>1555</v>
      </c>
      <c r="BE90" s="447">
        <f t="shared" si="318"/>
        <v>0</v>
      </c>
      <c r="BF90" s="447">
        <f t="shared" si="318"/>
        <v>0</v>
      </c>
      <c r="BG90" s="772">
        <f t="shared" si="318"/>
        <v>0</v>
      </c>
      <c r="BH90" s="152">
        <f t="shared" si="345"/>
        <v>0</v>
      </c>
      <c r="BI90" s="818" t="str">
        <f t="shared" si="346"/>
        <v>-</v>
      </c>
      <c r="BJ90" s="818" t="str">
        <f t="shared" si="347"/>
        <v>-</v>
      </c>
      <c r="BK90" s="861">
        <f t="shared" si="348"/>
        <v>1555</v>
      </c>
      <c r="BL90" s="860">
        <f t="shared" si="349"/>
        <v>0</v>
      </c>
      <c r="BM90" s="862">
        <f t="shared" si="350"/>
        <v>1555</v>
      </c>
      <c r="BN90" s="25"/>
      <c r="BO90" s="787"/>
      <c r="BP90" s="772" t="s">
        <v>67</v>
      </c>
      <c r="BQ90" s="853">
        <f t="shared" si="319"/>
        <v>1868</v>
      </c>
      <c r="BR90" s="447">
        <f t="shared" si="319"/>
        <v>0</v>
      </c>
      <c r="BS90" s="447">
        <f t="shared" si="319"/>
        <v>0</v>
      </c>
      <c r="BT90" s="772">
        <f t="shared" si="319"/>
        <v>0</v>
      </c>
      <c r="BU90" s="152">
        <f t="shared" si="351"/>
        <v>0</v>
      </c>
      <c r="BV90" s="818" t="str">
        <f t="shared" si="352"/>
        <v>-</v>
      </c>
      <c r="BW90" s="818" t="str">
        <f t="shared" si="353"/>
        <v>-</v>
      </c>
      <c r="BX90" s="861">
        <f t="shared" si="354"/>
        <v>1868</v>
      </c>
      <c r="BY90" s="860">
        <f t="shared" si="355"/>
        <v>0</v>
      </c>
      <c r="BZ90" s="862">
        <f t="shared" si="356"/>
        <v>1868</v>
      </c>
      <c r="CA90" s="25"/>
      <c r="CB90" s="794"/>
      <c r="CC90" s="772"/>
      <c r="CD90" s="853">
        <f t="shared" si="320"/>
        <v>2181</v>
      </c>
      <c r="CE90" s="447">
        <f t="shared" si="320"/>
        <v>0</v>
      </c>
      <c r="CF90" s="447">
        <f t="shared" si="320"/>
        <v>0</v>
      </c>
      <c r="CG90" s="772">
        <f t="shared" si="320"/>
        <v>0</v>
      </c>
      <c r="CH90" s="152">
        <f t="shared" si="357"/>
        <v>0</v>
      </c>
      <c r="CI90" s="779" t="str">
        <f>IF(CE90=0,"-",CH90/CE90)</f>
        <v>-</v>
      </c>
      <c r="CJ90" s="818" t="str">
        <f t="shared" si="359"/>
        <v>-</v>
      </c>
      <c r="CK90" s="861">
        <f t="shared" si="360"/>
        <v>2181</v>
      </c>
      <c r="CL90" s="860">
        <f t="shared" si="361"/>
        <v>0</v>
      </c>
      <c r="CM90" s="862">
        <f t="shared" si="362"/>
        <v>2181</v>
      </c>
      <c r="CN90" s="211"/>
      <c r="CO90" s="227"/>
      <c r="CP90" s="772" t="s">
        <v>67</v>
      </c>
      <c r="CQ90" s="853">
        <f t="shared" si="321"/>
        <v>2477</v>
      </c>
      <c r="CR90" s="447">
        <f t="shared" si="321"/>
        <v>0</v>
      </c>
      <c r="CS90" s="447">
        <f t="shared" si="321"/>
        <v>0</v>
      </c>
      <c r="CT90" s="772">
        <f t="shared" si="321"/>
        <v>0</v>
      </c>
      <c r="CU90" s="152">
        <f t="shared" si="363"/>
        <v>0</v>
      </c>
      <c r="CV90" s="818" t="str">
        <f t="shared" si="364"/>
        <v>-</v>
      </c>
      <c r="CW90" s="818" t="str">
        <f t="shared" si="365"/>
        <v>-</v>
      </c>
      <c r="CX90" s="861">
        <f t="shared" si="366"/>
        <v>2477</v>
      </c>
      <c r="CY90" s="860">
        <f t="shared" si="367"/>
        <v>0</v>
      </c>
      <c r="CZ90" s="862">
        <f t="shared" si="368"/>
        <v>2477</v>
      </c>
      <c r="DA90" s="211"/>
      <c r="DB90" s="379"/>
      <c r="DC90" s="772" t="s">
        <v>67</v>
      </c>
      <c r="DD90" s="853">
        <f t="shared" si="322"/>
        <v>2796</v>
      </c>
      <c r="DE90" s="447">
        <f t="shared" si="322"/>
        <v>0</v>
      </c>
      <c r="DF90" s="447">
        <f t="shared" si="322"/>
        <v>0</v>
      </c>
      <c r="DG90" s="772">
        <f t="shared" si="322"/>
        <v>0</v>
      </c>
      <c r="DH90" s="152">
        <f t="shared" si="369"/>
        <v>0</v>
      </c>
      <c r="DI90" s="818" t="str">
        <f t="shared" si="370"/>
        <v>-</v>
      </c>
      <c r="DJ90" s="818" t="str">
        <f t="shared" si="371"/>
        <v>-</v>
      </c>
      <c r="DK90" s="861">
        <f t="shared" si="372"/>
        <v>2796</v>
      </c>
      <c r="DL90" s="860">
        <f t="shared" si="373"/>
        <v>0</v>
      </c>
      <c r="DM90" s="862">
        <f t="shared" si="374"/>
        <v>2796</v>
      </c>
      <c r="DN90" s="211"/>
      <c r="DO90" s="228"/>
      <c r="DP90" s="772" t="s">
        <v>67</v>
      </c>
      <c r="DQ90" s="853">
        <f t="shared" si="323"/>
        <v>3109</v>
      </c>
      <c r="DR90" s="447">
        <f t="shared" si="323"/>
        <v>0</v>
      </c>
      <c r="DS90" s="447">
        <f t="shared" si="323"/>
        <v>0</v>
      </c>
      <c r="DT90" s="772">
        <f t="shared" si="323"/>
        <v>0</v>
      </c>
      <c r="DU90" s="152">
        <f t="shared" si="375"/>
        <v>0</v>
      </c>
      <c r="DV90" s="818" t="str">
        <f t="shared" si="376"/>
        <v>-</v>
      </c>
      <c r="DW90" s="818" t="str">
        <f t="shared" si="377"/>
        <v>-</v>
      </c>
      <c r="DX90" s="861">
        <f t="shared" si="378"/>
        <v>3109</v>
      </c>
      <c r="DY90" s="860">
        <f t="shared" si="379"/>
        <v>0</v>
      </c>
      <c r="DZ90" s="862">
        <f t="shared" si="380"/>
        <v>3109</v>
      </c>
      <c r="EA90" s="25"/>
      <c r="EB90" s="229"/>
      <c r="EC90" s="772" t="s">
        <v>67</v>
      </c>
      <c r="ED90" s="853">
        <f t="shared" si="324"/>
        <v>3417</v>
      </c>
      <c r="EE90" s="447">
        <f t="shared" si="324"/>
        <v>0</v>
      </c>
      <c r="EF90" s="447">
        <f t="shared" si="324"/>
        <v>0</v>
      </c>
      <c r="EG90" s="772">
        <f t="shared" si="324"/>
        <v>0</v>
      </c>
      <c r="EH90" s="152">
        <f t="shared" si="381"/>
        <v>0</v>
      </c>
      <c r="EI90" s="818" t="str">
        <f t="shared" si="382"/>
        <v>-</v>
      </c>
      <c r="EJ90" s="818" t="str">
        <f t="shared" si="383"/>
        <v>-</v>
      </c>
      <c r="EK90" s="861">
        <f>ED90-EE90</f>
        <v>3417</v>
      </c>
      <c r="EL90" s="860">
        <f>EE90-EH90</f>
        <v>0</v>
      </c>
      <c r="EM90" s="862">
        <f t="shared" si="386"/>
        <v>3417</v>
      </c>
      <c r="EN90" s="785"/>
      <c r="EO90" s="230"/>
      <c r="EP90" s="772" t="s">
        <v>67</v>
      </c>
      <c r="EQ90" s="853">
        <f t="shared" si="325"/>
        <v>3730</v>
      </c>
      <c r="ER90" s="447">
        <f t="shared" si="325"/>
        <v>0</v>
      </c>
      <c r="ES90" s="447">
        <f t="shared" si="325"/>
        <v>0</v>
      </c>
      <c r="ET90" s="772">
        <f t="shared" si="325"/>
        <v>0</v>
      </c>
      <c r="EU90" s="152">
        <f t="shared" si="387"/>
        <v>0</v>
      </c>
      <c r="EV90" s="818" t="str">
        <f t="shared" si="388"/>
        <v>-</v>
      </c>
      <c r="EW90" s="818" t="str">
        <f t="shared" si="389"/>
        <v>-</v>
      </c>
      <c r="EX90" s="861">
        <f t="shared" si="390"/>
        <v>3730</v>
      </c>
      <c r="EY90" s="860">
        <f t="shared" si="391"/>
        <v>0</v>
      </c>
      <c r="EZ90" s="862">
        <f t="shared" si="392"/>
        <v>3730</v>
      </c>
      <c r="FA90" s="25"/>
      <c r="FB90" s="25"/>
      <c r="FC90" s="785"/>
      <c r="FD90" s="25"/>
      <c r="FE90" s="211"/>
      <c r="FF90" s="211"/>
      <c r="FG90" s="25"/>
      <c r="FH90" s="25"/>
      <c r="FI90" s="25"/>
      <c r="FJ90" s="25"/>
    </row>
    <row r="91" spans="1:166" s="208" customFormat="1" ht="14.25" thickTop="1" thickBot="1">
      <c r="A91" s="777"/>
      <c r="B91" s="796"/>
      <c r="C91" s="358" t="s">
        <v>57</v>
      </c>
      <c r="D91" s="272">
        <f>SUM(D85:D90)</f>
        <v>43962.04</v>
      </c>
      <c r="E91" s="272">
        <f>SUM(E85:E90)</f>
        <v>41360.1</v>
      </c>
      <c r="F91" s="272">
        <f>SUM(F85:F90)</f>
        <v>0</v>
      </c>
      <c r="G91" s="357">
        <f>SUM(G85:G90)</f>
        <v>242.8</v>
      </c>
      <c r="H91" s="400">
        <f>SUM(H85:H90)</f>
        <v>41117.300000000003</v>
      </c>
      <c r="I91" s="366">
        <f t="shared" si="327"/>
        <v>0.9941296080038492</v>
      </c>
      <c r="J91" s="366">
        <f>IF(ISERROR(G91/E91),"-",G91/E91)</f>
        <v>5.8703919961508805E-3</v>
      </c>
      <c r="K91" s="357">
        <f>SUM(K85:K90)</f>
        <v>2601.9400000000023</v>
      </c>
      <c r="L91" s="354">
        <f>SUM(L85:L90)</f>
        <v>242.79999999999745</v>
      </c>
      <c r="M91" s="358">
        <f>SUM(M85:M90)</f>
        <v>2844.74</v>
      </c>
      <c r="N91" s="785"/>
      <c r="O91" s="798"/>
      <c r="P91" s="272" t="s">
        <v>57</v>
      </c>
      <c r="Q91" s="271">
        <f>SUM(Q85:Q90)</f>
        <v>88081.4</v>
      </c>
      <c r="R91" s="271">
        <f>SUM(R85:R90)</f>
        <v>82887.5</v>
      </c>
      <c r="S91" s="271">
        <f>SUM(S85:S90)</f>
        <v>0</v>
      </c>
      <c r="T91" s="271">
        <f>SUM(T85:T90)</f>
        <v>400.29999999999995</v>
      </c>
      <c r="U91" s="271">
        <f>SUM(U85:U90)</f>
        <v>82487.200000000012</v>
      </c>
      <c r="V91" s="362">
        <f t="shared" ref="V91" si="393">IF(R91=0,"-",U91/R91)</f>
        <v>0.99517056250942559</v>
      </c>
      <c r="W91" s="362">
        <f>IF(ISERROR(T91/R91),"-",T91/R91)</f>
        <v>4.8294374905745738E-3</v>
      </c>
      <c r="X91" s="274">
        <f>SUM(X85:X90)</f>
        <v>5193.9000000000015</v>
      </c>
      <c r="Y91" s="117">
        <f>SUM(Y85:Y90)</f>
        <v>400.29999999999927</v>
      </c>
      <c r="Z91" s="270">
        <f>SUM(Z85:Z90)</f>
        <v>5594.2000000000007</v>
      </c>
      <c r="AA91" s="25"/>
      <c r="AB91" s="799"/>
      <c r="AC91" s="272" t="s">
        <v>57</v>
      </c>
      <c r="AD91" s="271">
        <f>SUM(AD85:AD90)</f>
        <v>129584.65</v>
      </c>
      <c r="AE91" s="271">
        <f>SUM(AE85:AE90)</f>
        <v>122018.9</v>
      </c>
      <c r="AF91" s="271">
        <f t="shared" ref="AF91" si="394">SUM(AF85:AF90)</f>
        <v>0</v>
      </c>
      <c r="AG91" s="271">
        <f>SUM(AG85:AG90)</f>
        <v>519.29999999999995</v>
      </c>
      <c r="AH91" s="271">
        <f>SUM(AH85:AH90)</f>
        <v>121499.6</v>
      </c>
      <c r="AI91" s="362">
        <f>IF(AE91=0,"-",AH91/AE91)</f>
        <v>0.99574410193830643</v>
      </c>
      <c r="AJ91" s="362">
        <f t="shared" ref="AJ91" si="395">IF(ISERROR(AG91/AE91),"",AG91/AE91)</f>
        <v>4.2558980616937215E-3</v>
      </c>
      <c r="AK91" s="359">
        <f>SUM(AK85:AK90)</f>
        <v>7565.75</v>
      </c>
      <c r="AL91" s="117">
        <f>SUM(AL85:AL90)</f>
        <v>519.29999999999927</v>
      </c>
      <c r="AM91" s="360">
        <f>SUM(AM85:AM90)</f>
        <v>8085.0499999999993</v>
      </c>
      <c r="AN91" s="25"/>
      <c r="AO91" s="231"/>
      <c r="AP91" s="272" t="s">
        <v>57</v>
      </c>
      <c r="AQ91" s="271">
        <f>SUM(AQ85:AQ90)</f>
        <v>172723.75</v>
      </c>
      <c r="AR91" s="271">
        <f>SUM(AR85:AR90)</f>
        <v>164154.40000000002</v>
      </c>
      <c r="AS91" s="271">
        <f t="shared" ref="AS91:AU91" si="396">SUM(AS85:AS90)</f>
        <v>0</v>
      </c>
      <c r="AT91" s="271">
        <f>SUM(AT85:AT90)</f>
        <v>670.8</v>
      </c>
      <c r="AU91" s="271">
        <f t="shared" si="396"/>
        <v>163483.6</v>
      </c>
      <c r="AV91" s="362">
        <f t="shared" si="340"/>
        <v>0.99591360329056045</v>
      </c>
      <c r="AW91" s="362">
        <f>IF(ISERROR(AT91/AR91),"-",AT91/AR91)</f>
        <v>4.0863967094394047E-3</v>
      </c>
      <c r="AX91" s="359">
        <f>SUM(AX85:AX90)</f>
        <v>8569.3499999999913</v>
      </c>
      <c r="AY91" s="117">
        <f>SUM(AY85:AY90)</f>
        <v>670.80000000000291</v>
      </c>
      <c r="AZ91" s="360">
        <f>SUM(AZ85:AZ90)</f>
        <v>9240.1499999999942</v>
      </c>
      <c r="BA91" s="232"/>
      <c r="BB91" s="375"/>
      <c r="BC91" s="272" t="s">
        <v>57</v>
      </c>
      <c r="BD91" s="271">
        <f>SUM(BD85:BD90)</f>
        <v>214383.32</v>
      </c>
      <c r="BE91" s="271">
        <f>SUM(BE85:BE90)</f>
        <v>164154.40000000002</v>
      </c>
      <c r="BF91" s="271">
        <f t="shared" ref="BF91" si="397">SUM(BF85:BF90)</f>
        <v>0</v>
      </c>
      <c r="BG91" s="271">
        <f>SUM(BG85:BG90)</f>
        <v>670.8</v>
      </c>
      <c r="BH91" s="271">
        <f>SUM(BH85:BH90)</f>
        <v>163483.6</v>
      </c>
      <c r="BI91" s="362">
        <f t="shared" ref="BI91" si="398">IF(BE91=0,"-",BH91/BE91)</f>
        <v>0.99591360329056045</v>
      </c>
      <c r="BJ91" s="362">
        <f>IF(ISERROR(BG91/BE91),"-",BG91/BE91)</f>
        <v>4.0863967094394047E-3</v>
      </c>
      <c r="BK91" s="359">
        <f>SUM(BK85:BK90)</f>
        <v>50228.919999999991</v>
      </c>
      <c r="BL91" s="117">
        <f>SUM(BL85:BL90)</f>
        <v>670.80000000000291</v>
      </c>
      <c r="BM91" s="360">
        <f>SUM(BM85:BM90)</f>
        <v>50899.719999999994</v>
      </c>
      <c r="BN91" s="25"/>
      <c r="BO91" s="801"/>
      <c r="BP91" s="272" t="s">
        <v>57</v>
      </c>
      <c r="BQ91" s="271">
        <f>SUM(BQ85:BQ90)</f>
        <v>257522.41999999998</v>
      </c>
      <c r="BR91" s="271">
        <f t="shared" ref="BR91:BT91" si="399">SUM(BR85:BR90)</f>
        <v>164154.40000000002</v>
      </c>
      <c r="BS91" s="271">
        <f t="shared" si="399"/>
        <v>0</v>
      </c>
      <c r="BT91" s="271">
        <f t="shared" si="399"/>
        <v>670.8</v>
      </c>
      <c r="BU91" s="271">
        <f>SUM(BU85:BU90)</f>
        <v>163483.6</v>
      </c>
      <c r="BV91" s="362">
        <f t="shared" ref="BV91" si="400">IF(BR91=0,"-",BU91/BR91)</f>
        <v>0.99591360329056045</v>
      </c>
      <c r="BW91" s="362">
        <f>IF(ISERROR(BT91/BR91),"-",BT91/BR91)</f>
        <v>4.0863967094394047E-3</v>
      </c>
      <c r="BX91" s="359">
        <f>SUM(BX85:BX90)</f>
        <v>93368.01999999999</v>
      </c>
      <c r="BY91" s="117">
        <f>SUM(BY85:BY90)</f>
        <v>670.80000000000291</v>
      </c>
      <c r="BZ91" s="360">
        <f>SUM(BZ85:BZ90)</f>
        <v>94038.819999999992</v>
      </c>
      <c r="CA91" s="25"/>
      <c r="CB91" s="802"/>
      <c r="CC91" s="272" t="s">
        <v>57</v>
      </c>
      <c r="CD91" s="271">
        <f>SUM(CD85:CD90)</f>
        <v>300661.52</v>
      </c>
      <c r="CE91" s="271">
        <f t="shared" ref="CE91:CH91" si="401">SUM(CE85:CE90)</f>
        <v>164154.40000000002</v>
      </c>
      <c r="CF91" s="271">
        <f t="shared" si="401"/>
        <v>0</v>
      </c>
      <c r="CG91" s="271">
        <f t="shared" si="401"/>
        <v>670.8</v>
      </c>
      <c r="CH91" s="271">
        <f t="shared" si="401"/>
        <v>163483.6</v>
      </c>
      <c r="CI91" s="362">
        <f t="shared" ref="CI91" si="402">IF(CE91=0,"-",CH91/CE91)</f>
        <v>0.99591360329056045</v>
      </c>
      <c r="CJ91" s="362">
        <f>IF(ISERROR(CG91/CE91),"-",CG91/CE91)</f>
        <v>4.0863967094394047E-3</v>
      </c>
      <c r="CK91" s="359">
        <f>SUM(CK85:CK90)</f>
        <v>136507.12</v>
      </c>
      <c r="CL91" s="117">
        <f>SUM(CL85:CL90)</f>
        <v>670.80000000000291</v>
      </c>
      <c r="CM91" s="360">
        <f>SUM(CM85:CM90)</f>
        <v>137177.91999999998</v>
      </c>
      <c r="CN91" s="211"/>
      <c r="CO91" s="233"/>
      <c r="CP91" s="272" t="s">
        <v>57</v>
      </c>
      <c r="CQ91" s="271">
        <f>SUM(CQ85:CQ90)</f>
        <v>341507.19999999995</v>
      </c>
      <c r="CR91" s="271">
        <f t="shared" ref="CR91:CU91" si="403">SUM(CR85:CR90)</f>
        <v>164154.40000000002</v>
      </c>
      <c r="CS91" s="271">
        <f t="shared" si="403"/>
        <v>0</v>
      </c>
      <c r="CT91" s="271">
        <f t="shared" si="403"/>
        <v>670.8</v>
      </c>
      <c r="CU91" s="271">
        <f t="shared" si="403"/>
        <v>163483.6</v>
      </c>
      <c r="CV91" s="362">
        <f t="shared" ref="CV91" si="404">IF(CR91=0,"-",CU91/CR91)</f>
        <v>0.99591360329056045</v>
      </c>
      <c r="CW91" s="362">
        <f>IF(ISERROR(CT91/CR91),"-",CT91/CR91)</f>
        <v>4.0863967094394047E-3</v>
      </c>
      <c r="CX91" s="359">
        <f>SUM(CX85:CX90)</f>
        <v>177352.8</v>
      </c>
      <c r="CY91" s="117">
        <f>SUM(CY85:CY90)</f>
        <v>670.80000000000291</v>
      </c>
      <c r="CZ91" s="360">
        <f>SUM(CZ85:CZ90)</f>
        <v>178023.59999999998</v>
      </c>
      <c r="DA91" s="211"/>
      <c r="DB91" s="380"/>
      <c r="DC91" s="272" t="s">
        <v>57</v>
      </c>
      <c r="DD91" s="271">
        <f>SUM(DD85:DD90)</f>
        <v>385469.24</v>
      </c>
      <c r="DE91" s="271">
        <f>SUM(DE85:DE90)</f>
        <v>164154.40000000002</v>
      </c>
      <c r="DF91" s="271">
        <f>SUM(DF85:DF90)</f>
        <v>0</v>
      </c>
      <c r="DG91" s="271">
        <f t="shared" ref="DG91:DH91" si="405">SUM(DG85:DG90)</f>
        <v>670.8</v>
      </c>
      <c r="DH91" s="271">
        <f t="shared" si="405"/>
        <v>163483.6</v>
      </c>
      <c r="DI91" s="362">
        <f t="shared" ref="DI91" si="406">IF(DE91=0,"-",DH91/DE91)</f>
        <v>0.99591360329056045</v>
      </c>
      <c r="DJ91" s="362">
        <f>IF(ISERROR(DG91/DE91),"-",DG91/DE91)</f>
        <v>4.0863967094394047E-3</v>
      </c>
      <c r="DK91" s="359">
        <f>SUM(DK85:DK90)</f>
        <v>221314.83999999997</v>
      </c>
      <c r="DL91" s="117">
        <f>SUM(DL85:DL90)</f>
        <v>670.80000000000291</v>
      </c>
      <c r="DM91" s="360">
        <f>SUM(DM85:DM90)</f>
        <v>221985.63999999998</v>
      </c>
      <c r="DN91" s="211"/>
      <c r="DO91" s="234"/>
      <c r="DP91" s="272" t="s">
        <v>57</v>
      </c>
      <c r="DQ91" s="271">
        <f>SUM(DQ85:DQ90)</f>
        <v>428618.37</v>
      </c>
      <c r="DR91" s="271">
        <f>SUM(DR85:DR90)</f>
        <v>164154.40000000002</v>
      </c>
      <c r="DS91" s="271">
        <f>SUM(DS85:DS90)</f>
        <v>0</v>
      </c>
      <c r="DT91" s="269">
        <f>SUM(DT85:DT90)</f>
        <v>670.8</v>
      </c>
      <c r="DU91" s="271">
        <f>SUM(DU85:DU90)</f>
        <v>163483.6</v>
      </c>
      <c r="DV91" s="362">
        <f t="shared" ref="DV91" si="407">IF(DR91=0,"-",DU91/DR91)</f>
        <v>0.99591360329056045</v>
      </c>
      <c r="DW91" s="362">
        <f>IF(ISERROR(DT91/DR91),"-",DT91/DR91)</f>
        <v>4.0863967094394047E-3</v>
      </c>
      <c r="DX91" s="359">
        <f>SUM(DX85:DX90)</f>
        <v>264463.96999999997</v>
      </c>
      <c r="DY91" s="117">
        <f>SUM(DY85:DY90)</f>
        <v>670.80000000000291</v>
      </c>
      <c r="DZ91" s="360">
        <f>SUM(DZ85:DZ90)</f>
        <v>265134.77</v>
      </c>
      <c r="EA91" s="25"/>
      <c r="EB91" s="235"/>
      <c r="EC91" s="272" t="s">
        <v>57</v>
      </c>
      <c r="ED91" s="271">
        <f>SUM(ED85:ED90)</f>
        <v>471092.85</v>
      </c>
      <c r="EE91" s="271">
        <f>SUM(EE85:EE90)</f>
        <v>164154.40000000002</v>
      </c>
      <c r="EF91" s="271">
        <f>SUM(EF85:EF90)</f>
        <v>0</v>
      </c>
      <c r="EG91" s="269">
        <f>SUM(EG85:EG90)</f>
        <v>670.8</v>
      </c>
      <c r="EH91" s="271">
        <f>SUM(EH85:EH90)</f>
        <v>163483.6</v>
      </c>
      <c r="EI91" s="362">
        <f>IF(EE91=0,"-",EH91/EE91)</f>
        <v>0.99591360329056045</v>
      </c>
      <c r="EJ91" s="362">
        <f>IF(ISERROR(EG91/EE91),"-",EG91/EE91)</f>
        <v>4.0863967094394047E-3</v>
      </c>
      <c r="EK91" s="359">
        <f>SUM(EK85:EK90)</f>
        <v>306938.44999999995</v>
      </c>
      <c r="EL91" s="117">
        <f>SUM(EL85:EL90)</f>
        <v>670.80000000000291</v>
      </c>
      <c r="EM91" s="360">
        <f>SUM(EM85:EM90)</f>
        <v>307609.25</v>
      </c>
      <c r="EN91" s="785"/>
      <c r="EO91" s="236"/>
      <c r="EP91" s="272" t="s">
        <v>57</v>
      </c>
      <c r="EQ91" s="271">
        <f>SUM(EQ85:EQ90)</f>
        <v>514241.98</v>
      </c>
      <c r="ER91" s="271">
        <f>SUM(ER85:ER90)</f>
        <v>164154.40000000002</v>
      </c>
      <c r="ES91" s="271">
        <f>SUM(ES85:ES90)</f>
        <v>0</v>
      </c>
      <c r="ET91" s="269">
        <f>SUM(ET85:ET90)</f>
        <v>670.8</v>
      </c>
      <c r="EU91" s="271">
        <f>SUM(EU85:EU90)</f>
        <v>163483.6</v>
      </c>
      <c r="EV91" s="362">
        <f t="shared" ref="EV91" si="408">IF(ER91=0,"-",EU91/ER91)</f>
        <v>0.99591360329056045</v>
      </c>
      <c r="EW91" s="362">
        <f>IF(ISERROR(ET91/ER91),"-",ET91/ER91)</f>
        <v>4.0863967094394047E-3</v>
      </c>
      <c r="EX91" s="359">
        <f>SUM(EX85:EX90)</f>
        <v>350087.58</v>
      </c>
      <c r="EY91" s="117">
        <f>SUM(EY85:EY90)</f>
        <v>670.80000000000291</v>
      </c>
      <c r="EZ91" s="360">
        <f>SUM(EZ85:EZ90)</f>
        <v>350758.38</v>
      </c>
      <c r="FA91" s="25"/>
      <c r="FB91" s="25"/>
      <c r="FC91" s="785"/>
      <c r="FD91" s="25"/>
      <c r="FE91" s="211"/>
      <c r="FF91" s="211"/>
      <c r="FG91" s="25"/>
      <c r="FH91" s="25"/>
      <c r="FI91" s="25"/>
      <c r="FJ91" s="25"/>
    </row>
    <row r="92" spans="1:166" s="208" customFormat="1" ht="13.5" thickBot="1">
      <c r="A92" s="785"/>
      <c r="B92" s="821"/>
      <c r="C92" s="237"/>
      <c r="D92" s="216"/>
      <c r="E92" s="216"/>
      <c r="F92" s="216"/>
      <c r="G92" s="216"/>
      <c r="H92" s="456"/>
      <c r="I92" s="442"/>
      <c r="J92" s="442"/>
      <c r="K92" s="216"/>
      <c r="L92" s="216"/>
      <c r="M92" s="216"/>
      <c r="N92" s="785"/>
      <c r="O92" s="863"/>
      <c r="P92" s="237"/>
      <c r="Q92" s="213"/>
      <c r="R92" s="213"/>
      <c r="S92" s="213"/>
      <c r="T92" s="213"/>
      <c r="U92" s="213"/>
      <c r="V92" s="363"/>
      <c r="W92" s="363"/>
      <c r="X92" s="25"/>
      <c r="Y92" s="117"/>
      <c r="Z92" s="117"/>
      <c r="AA92" s="25"/>
      <c r="AB92" s="785"/>
      <c r="AC92" s="237"/>
      <c r="AD92" s="213"/>
      <c r="AE92" s="213"/>
      <c r="AF92" s="213"/>
      <c r="AG92" s="213"/>
      <c r="AH92" s="213"/>
      <c r="AI92" s="363"/>
      <c r="AJ92" s="363"/>
      <c r="AK92" s="213"/>
      <c r="AL92" s="261"/>
      <c r="AM92" s="217"/>
      <c r="AN92" s="25"/>
      <c r="AO92" s="25"/>
      <c r="AP92" s="237"/>
      <c r="AQ92" s="213"/>
      <c r="AR92" s="213"/>
      <c r="AS92" s="213"/>
      <c r="AT92" s="213"/>
      <c r="AU92" s="213"/>
      <c r="AV92" s="363"/>
      <c r="AW92" s="363"/>
      <c r="AX92" s="213"/>
      <c r="AY92" s="261"/>
      <c r="AZ92" s="217"/>
      <c r="BA92" s="25"/>
      <c r="BB92" s="116"/>
      <c r="BC92" s="237"/>
      <c r="BD92" s="213"/>
      <c r="BE92" s="213"/>
      <c r="BF92" s="213"/>
      <c r="BG92" s="213"/>
      <c r="BH92" s="213"/>
      <c r="BI92" s="363"/>
      <c r="BJ92" s="363"/>
      <c r="BK92" s="213"/>
      <c r="BL92" s="261"/>
      <c r="BM92" s="217"/>
      <c r="BN92" s="25"/>
      <c r="BO92" s="25"/>
      <c r="BP92" s="237"/>
      <c r="BQ92" s="213"/>
      <c r="BR92" s="213"/>
      <c r="BS92" s="213"/>
      <c r="BT92" s="213"/>
      <c r="BU92" s="213"/>
      <c r="BV92" s="363"/>
      <c r="BW92" s="363"/>
      <c r="BX92" s="213"/>
      <c r="BY92" s="261"/>
      <c r="BZ92" s="217"/>
      <c r="CA92" s="25"/>
      <c r="CB92" s="25"/>
      <c r="CC92" s="237"/>
      <c r="CD92" s="213"/>
      <c r="CE92" s="213"/>
      <c r="CF92" s="213"/>
      <c r="CG92" s="213"/>
      <c r="CH92" s="213"/>
      <c r="CI92" s="363"/>
      <c r="CJ92" s="363"/>
      <c r="CK92" s="213"/>
      <c r="CL92" s="261"/>
      <c r="CM92" s="217"/>
      <c r="CN92" s="211"/>
      <c r="CO92" s="25"/>
      <c r="CP92" s="237"/>
      <c r="CQ92" s="213"/>
      <c r="CR92" s="213"/>
      <c r="CS92" s="213"/>
      <c r="CT92" s="213"/>
      <c r="CU92" s="213"/>
      <c r="CV92" s="363"/>
      <c r="CW92" s="363"/>
      <c r="CX92" s="213"/>
      <c r="CY92" s="261"/>
      <c r="CZ92" s="217"/>
      <c r="DA92" s="211"/>
      <c r="DB92" s="210"/>
      <c r="DC92" s="237"/>
      <c r="DD92" s="213"/>
      <c r="DE92" s="210"/>
      <c r="DF92" s="213"/>
      <c r="DG92" s="216"/>
      <c r="DH92" s="213"/>
      <c r="DI92" s="363"/>
      <c r="DJ92" s="363"/>
      <c r="DK92" s="213"/>
      <c r="DL92" s="261"/>
      <c r="DM92" s="217"/>
      <c r="DN92" s="25"/>
      <c r="DO92" s="211"/>
      <c r="DP92" s="237"/>
      <c r="DQ92" s="213"/>
      <c r="DR92" s="213"/>
      <c r="DS92" s="213"/>
      <c r="DT92" s="213"/>
      <c r="DU92" s="213"/>
      <c r="DV92" s="363"/>
      <c r="DW92" s="363"/>
      <c r="DX92" s="213"/>
      <c r="DY92" s="261"/>
      <c r="DZ92" s="217"/>
      <c r="EA92" s="785"/>
      <c r="EB92" s="25"/>
      <c r="EC92" s="237"/>
      <c r="ED92" s="213"/>
      <c r="EE92" s="213"/>
      <c r="EF92" s="213"/>
      <c r="EG92" s="213"/>
      <c r="EH92" s="213"/>
      <c r="EI92" s="363"/>
      <c r="EJ92" s="363"/>
      <c r="EK92" s="213"/>
      <c r="EL92" s="261"/>
      <c r="EM92" s="217"/>
      <c r="EN92" s="25"/>
      <c r="EO92" s="785"/>
      <c r="EP92" s="237"/>
      <c r="EQ92" s="213"/>
      <c r="ER92" s="213"/>
      <c r="ES92" s="213"/>
      <c r="ET92" s="213"/>
      <c r="EU92" s="213"/>
      <c r="EV92" s="363"/>
      <c r="EW92" s="363"/>
      <c r="EX92" s="213"/>
      <c r="EY92" s="261"/>
      <c r="EZ92" s="217"/>
      <c r="FA92" s="25"/>
      <c r="FB92" s="25"/>
      <c r="FC92" s="785"/>
      <c r="FD92" s="25"/>
      <c r="FE92" s="211"/>
      <c r="FF92" s="211"/>
      <c r="FG92" s="25"/>
      <c r="FH92" s="25"/>
      <c r="FI92" s="25"/>
      <c r="FJ92" s="25"/>
    </row>
    <row r="93" spans="1:166" s="208" customFormat="1">
      <c r="A93" s="777"/>
      <c r="B93" s="857"/>
      <c r="C93" s="458" t="s">
        <v>73</v>
      </c>
      <c r="D93" s="809"/>
      <c r="E93" s="809"/>
      <c r="F93" s="809"/>
      <c r="G93" s="821"/>
      <c r="H93" s="855"/>
      <c r="I93" s="856"/>
      <c r="J93" s="856"/>
      <c r="K93" s="864"/>
      <c r="L93" s="865"/>
      <c r="M93" s="866"/>
      <c r="N93" s="785"/>
      <c r="O93" s="782"/>
      <c r="P93" s="221" t="s">
        <v>73</v>
      </c>
      <c r="Q93" s="859"/>
      <c r="R93" s="859"/>
      <c r="S93" s="859"/>
      <c r="T93" s="821"/>
      <c r="U93" s="859"/>
      <c r="V93" s="811"/>
      <c r="W93" s="811"/>
      <c r="X93" s="822"/>
      <c r="Y93" s="823"/>
      <c r="Z93" s="824"/>
      <c r="AA93" s="25"/>
      <c r="AB93" s="815"/>
      <c r="AC93" s="221" t="s">
        <v>73</v>
      </c>
      <c r="AD93" s="859"/>
      <c r="AE93" s="859"/>
      <c r="AF93" s="859"/>
      <c r="AG93" s="821"/>
      <c r="AH93" s="859"/>
      <c r="AI93" s="811"/>
      <c r="AJ93" s="811"/>
      <c r="AK93" s="822"/>
      <c r="AL93" s="823"/>
      <c r="AM93" s="824"/>
      <c r="AN93" s="25"/>
      <c r="AO93" s="220"/>
      <c r="AP93" s="221" t="s">
        <v>73</v>
      </c>
      <c r="AQ93" s="859"/>
      <c r="AR93" s="859"/>
      <c r="AS93" s="859"/>
      <c r="AT93" s="821"/>
      <c r="AU93" s="859"/>
      <c r="AV93" s="811"/>
      <c r="AW93" s="811"/>
      <c r="AX93" s="822"/>
      <c r="AY93" s="823"/>
      <c r="AZ93" s="824"/>
      <c r="BA93" s="25"/>
      <c r="BB93" s="376"/>
      <c r="BC93" s="221" t="s">
        <v>73</v>
      </c>
      <c r="BD93" s="859"/>
      <c r="BE93" s="859"/>
      <c r="BF93" s="859"/>
      <c r="BG93" s="821"/>
      <c r="BH93" s="859"/>
      <c r="BI93" s="811"/>
      <c r="BJ93" s="811"/>
      <c r="BK93" s="822"/>
      <c r="BL93" s="823"/>
      <c r="BM93" s="824"/>
      <c r="BN93" s="25"/>
      <c r="BO93" s="238"/>
      <c r="BP93" s="221" t="s">
        <v>73</v>
      </c>
      <c r="BQ93" s="859"/>
      <c r="BR93" s="859"/>
      <c r="BS93" s="859"/>
      <c r="BT93" s="821"/>
      <c r="BU93" s="859"/>
      <c r="BV93" s="811"/>
      <c r="BW93" s="811"/>
      <c r="BX93" s="822"/>
      <c r="BY93" s="823"/>
      <c r="BZ93" s="824"/>
      <c r="CA93" s="25"/>
      <c r="CB93" s="239"/>
      <c r="CC93" s="221" t="s">
        <v>73</v>
      </c>
      <c r="CD93" s="859"/>
      <c r="CE93" s="859"/>
      <c r="CF93" s="859"/>
      <c r="CG93" s="821"/>
      <c r="CH93" s="859"/>
      <c r="CI93" s="811"/>
      <c r="CJ93" s="811"/>
      <c r="CK93" s="822"/>
      <c r="CL93" s="823"/>
      <c r="CM93" s="824"/>
      <c r="CN93" s="211"/>
      <c r="CO93" s="222"/>
      <c r="CP93" s="221" t="s">
        <v>73</v>
      </c>
      <c r="CQ93" s="859"/>
      <c r="CR93" s="859"/>
      <c r="CS93" s="859"/>
      <c r="CT93" s="821"/>
      <c r="CU93" s="859"/>
      <c r="CV93" s="811"/>
      <c r="CW93" s="811"/>
      <c r="CX93" s="822"/>
      <c r="CY93" s="823"/>
      <c r="CZ93" s="824"/>
      <c r="DA93" s="211"/>
      <c r="DB93" s="381"/>
      <c r="DC93" s="221" t="s">
        <v>73</v>
      </c>
      <c r="DD93" s="859"/>
      <c r="DE93" s="859"/>
      <c r="DF93" s="859"/>
      <c r="DG93" s="821"/>
      <c r="DH93" s="859"/>
      <c r="DI93" s="811"/>
      <c r="DJ93" s="811"/>
      <c r="DK93" s="822"/>
      <c r="DL93" s="823"/>
      <c r="DM93" s="824"/>
      <c r="DN93" s="25"/>
      <c r="DO93" s="223"/>
      <c r="DP93" s="221" t="s">
        <v>73</v>
      </c>
      <c r="DQ93" s="859"/>
      <c r="DR93" s="859"/>
      <c r="DS93" s="859"/>
      <c r="DT93" s="821"/>
      <c r="DU93" s="859"/>
      <c r="DV93" s="811"/>
      <c r="DW93" s="811"/>
      <c r="DX93" s="822"/>
      <c r="DY93" s="823"/>
      <c r="DZ93" s="824"/>
      <c r="EA93" s="785"/>
      <c r="EB93" s="240"/>
      <c r="EC93" s="221" t="s">
        <v>73</v>
      </c>
      <c r="ED93" s="859"/>
      <c r="EE93" s="859"/>
      <c r="EF93" s="859"/>
      <c r="EG93" s="821"/>
      <c r="EH93" s="859"/>
      <c r="EI93" s="811"/>
      <c r="EJ93" s="811"/>
      <c r="EK93" s="822"/>
      <c r="EL93" s="823"/>
      <c r="EM93" s="824"/>
      <c r="EN93" s="25"/>
      <c r="EO93" s="825"/>
      <c r="EP93" s="221" t="s">
        <v>73</v>
      </c>
      <c r="EQ93" s="859"/>
      <c r="ER93" s="859"/>
      <c r="ES93" s="859"/>
      <c r="ET93" s="821"/>
      <c r="EU93" s="859"/>
      <c r="EV93" s="811"/>
      <c r="EW93" s="811"/>
      <c r="EX93" s="822"/>
      <c r="EY93" s="823"/>
      <c r="EZ93" s="824"/>
      <c r="FA93" s="25"/>
      <c r="FB93" s="25"/>
      <c r="FC93" s="785"/>
      <c r="FD93" s="25"/>
      <c r="FE93" s="211"/>
      <c r="FF93" s="211"/>
      <c r="FG93" s="25"/>
      <c r="FH93" s="25"/>
      <c r="FI93" s="25"/>
      <c r="FJ93" s="25"/>
    </row>
    <row r="94" spans="1:166" s="208" customFormat="1">
      <c r="A94" s="777"/>
      <c r="B94" s="770"/>
      <c r="C94" s="459" t="s">
        <v>22</v>
      </c>
      <c r="D94" s="447">
        <f>D42</f>
        <v>26327.3</v>
      </c>
      <c r="E94" s="447">
        <f>E42</f>
        <v>26341.059999999998</v>
      </c>
      <c r="F94" s="447">
        <f>F42</f>
        <v>0</v>
      </c>
      <c r="G94" s="772">
        <f>G42</f>
        <v>59.695605169954455</v>
      </c>
      <c r="H94" s="399">
        <f>+E94+F94-G94</f>
        <v>26281.364394830041</v>
      </c>
      <c r="I94" s="779">
        <f>IF(E94=0,"-",H94/E94)</f>
        <v>0.99773374324457875</v>
      </c>
      <c r="J94" s="779">
        <f>IF(ISERROR(G94/E94),"",G94/E94)</f>
        <v>2.2662567554211734E-3</v>
      </c>
      <c r="K94" s="770">
        <f>SUM($K$42:K42)</f>
        <v>-13.759999999998399</v>
      </c>
      <c r="L94" s="772">
        <f>SUM($L$42:L42)</f>
        <v>59.695605169956252</v>
      </c>
      <c r="M94" s="780">
        <f>SUM($M$44:M48)</f>
        <v>5643.8915709741214</v>
      </c>
      <c r="N94" s="785"/>
      <c r="O94" s="793"/>
      <c r="P94" s="436" t="s">
        <v>22</v>
      </c>
      <c r="Q94" s="853">
        <f>Q42+D94</f>
        <v>52752.509999999995</v>
      </c>
      <c r="R94" s="853">
        <f>R42+E94</f>
        <v>53839.86</v>
      </c>
      <c r="S94" s="853">
        <f>S42+F94</f>
        <v>0</v>
      </c>
      <c r="T94" s="785">
        <f>T42+G94</f>
        <v>111.98734898680596</v>
      </c>
      <c r="U94" s="152">
        <f>+R94+S94-T94</f>
        <v>53727.872651013196</v>
      </c>
      <c r="V94" s="818">
        <f>IF(R94=0,"-",U94/R94)</f>
        <v>0.99791999182414659</v>
      </c>
      <c r="W94" s="818">
        <f>IF(ISERROR(T94/R94),"-",T94/R94)</f>
        <v>2.0800081758534654E-3</v>
      </c>
      <c r="X94" s="781">
        <f>Q94-R94</f>
        <v>-1087.3500000000058</v>
      </c>
      <c r="Y94" s="785">
        <f>R94-U94</f>
        <v>111.98734898680414</v>
      </c>
      <c r="Z94" s="777">
        <f>Q94-U94</f>
        <v>-975.36265101320168</v>
      </c>
      <c r="AA94" s="25"/>
      <c r="AB94" s="783"/>
      <c r="AC94" s="436" t="s">
        <v>22</v>
      </c>
      <c r="AD94" s="853">
        <f>AD42+Q94</f>
        <v>77879.839999999997</v>
      </c>
      <c r="AE94" s="853">
        <f>AE42+R94</f>
        <v>80304.319999999992</v>
      </c>
      <c r="AF94" s="853">
        <f>AF42+S94</f>
        <v>0</v>
      </c>
      <c r="AG94" s="772">
        <f>AG42+T94</f>
        <v>165.31893335404089</v>
      </c>
      <c r="AH94" s="152">
        <f>+AE94+AF94-AG94</f>
        <v>80139.001066645957</v>
      </c>
      <c r="AI94" s="818">
        <f>IF(AE94=0,"-",AH94/AE94)</f>
        <v>0.99794134445875349</v>
      </c>
      <c r="AJ94" s="818">
        <f>IF(ISERROR(AG94/AE94),"-",AG94/AE94)</f>
        <v>2.0586555412466091E-3</v>
      </c>
      <c r="AK94" s="781">
        <f>AD94-AE94</f>
        <v>-2424.4799999999959</v>
      </c>
      <c r="AL94" s="785">
        <f>AE94-AH94</f>
        <v>165.31893335403583</v>
      </c>
      <c r="AM94" s="777">
        <f>AD94-AH94</f>
        <v>-2259.1610666459601</v>
      </c>
      <c r="AN94" s="25"/>
      <c r="AO94" s="226"/>
      <c r="AP94" s="436" t="s">
        <v>77</v>
      </c>
      <c r="AQ94" s="853">
        <f>AQ42+AD94</f>
        <v>103925.56</v>
      </c>
      <c r="AR94" s="853">
        <f>AR42+AE94</f>
        <v>107516.38999999998</v>
      </c>
      <c r="AS94" s="853">
        <f>AS42+AF94</f>
        <v>0</v>
      </c>
      <c r="AT94" s="772">
        <f>AT42+AG94</f>
        <v>219.54147063483271</v>
      </c>
      <c r="AU94" s="152">
        <f>+AR94+AS94-AT94</f>
        <v>107296.84852936515</v>
      </c>
      <c r="AV94" s="818">
        <f>IF(AR94=0,"-",AU94/AR94)</f>
        <v>0.99795806508538054</v>
      </c>
      <c r="AW94" s="818">
        <f>IF(ISERROR(AT94/AR94),"-",AT94/AR94)</f>
        <v>2.0419349146193685E-3</v>
      </c>
      <c r="AX94" s="781">
        <f>AQ94-AR94</f>
        <v>-3590.8299999999872</v>
      </c>
      <c r="AY94" s="785">
        <f>AR94-AU94</f>
        <v>219.54147063483833</v>
      </c>
      <c r="AZ94" s="777">
        <f>AQ94-AU94</f>
        <v>-3371.2885293651489</v>
      </c>
      <c r="BA94" s="25"/>
      <c r="BB94" s="786"/>
      <c r="BC94" s="436" t="s">
        <v>22</v>
      </c>
      <c r="BD94" s="853">
        <f>BD42+AQ94</f>
        <v>129150.8</v>
      </c>
      <c r="BE94" s="853">
        <f>BE42+AR94</f>
        <v>107516.38999999998</v>
      </c>
      <c r="BF94" s="853">
        <f>BF42+AS94</f>
        <v>0</v>
      </c>
      <c r="BG94" s="772">
        <f>BG42+AT94</f>
        <v>219.54147063483271</v>
      </c>
      <c r="BH94" s="152">
        <f>+BE94+BF94-BG94</f>
        <v>107296.84852936515</v>
      </c>
      <c r="BI94" s="818">
        <f>IF(BE94=0,"-",BH94/BE94)</f>
        <v>0.99795806508538054</v>
      </c>
      <c r="BJ94" s="818">
        <f>IF(ISERROR(BG94/BE94),"-",BG94/BE94)</f>
        <v>2.0419349146193685E-3</v>
      </c>
      <c r="BK94" s="781">
        <f>BD94-BE94</f>
        <v>21634.410000000018</v>
      </c>
      <c r="BL94" s="785">
        <f>BE94-BH94</f>
        <v>219.54147063483833</v>
      </c>
      <c r="BM94" s="777">
        <f>BD94-BH94</f>
        <v>21853.951470634856</v>
      </c>
      <c r="BN94" s="25"/>
      <c r="BO94" s="241"/>
      <c r="BP94" s="436" t="s">
        <v>22</v>
      </c>
      <c r="BQ94" s="853">
        <f>BQ42+BD94</f>
        <v>155196.52000000002</v>
      </c>
      <c r="BR94" s="853">
        <f>BR42+BE94</f>
        <v>107516.38999999998</v>
      </c>
      <c r="BS94" s="853">
        <f>BS42+BF94</f>
        <v>0</v>
      </c>
      <c r="BT94" s="772">
        <f>BT42+BG94</f>
        <v>219.54147063483271</v>
      </c>
      <c r="BU94" s="152">
        <f>+BR94+BS94-BT94</f>
        <v>107296.84852936515</v>
      </c>
      <c r="BV94" s="818">
        <f>IF(BR94=0,"-",BU94/BR94)</f>
        <v>0.99795806508538054</v>
      </c>
      <c r="BW94" s="818">
        <f>IF(ISERROR(BT94/BR94),"-",BT94/BR94)</f>
        <v>2.0419349146193685E-3</v>
      </c>
      <c r="BX94" s="781">
        <f>BQ94-BR94</f>
        <v>47680.130000000034</v>
      </c>
      <c r="BY94" s="785">
        <f>BR94-BU94</f>
        <v>219.54147063483833</v>
      </c>
      <c r="BZ94" s="777">
        <f>BQ94-BU94</f>
        <v>47899.671470634872</v>
      </c>
      <c r="CA94" s="25"/>
      <c r="CB94" s="242"/>
      <c r="CC94" s="436" t="s">
        <v>22</v>
      </c>
      <c r="CD94" s="853">
        <f>CD42+BQ94</f>
        <v>181297.92000000001</v>
      </c>
      <c r="CE94" s="853">
        <f>CE42+BR94</f>
        <v>107516.38999999998</v>
      </c>
      <c r="CF94" s="853">
        <f>CF42+BS94</f>
        <v>0</v>
      </c>
      <c r="CG94" s="785">
        <f>CG42+BT94</f>
        <v>219.54147063483271</v>
      </c>
      <c r="CH94" s="152">
        <f>+CE94+CF94-CG94</f>
        <v>107296.84852936515</v>
      </c>
      <c r="CI94" s="818">
        <f>IF(CE94=0,"-",CH94/CE94)</f>
        <v>0.99795806508538054</v>
      </c>
      <c r="CJ94" s="818">
        <f>IF(ISERROR(CG94/CE94),"-",CG94/CE94)</f>
        <v>2.0419349146193685E-3</v>
      </c>
      <c r="CK94" s="781">
        <f>CD94-CE94</f>
        <v>73781.530000000028</v>
      </c>
      <c r="CL94" s="785">
        <f>CE94-CH94</f>
        <v>219.54147063483833</v>
      </c>
      <c r="CM94" s="777">
        <f>CD94-CH94</f>
        <v>74001.071470634866</v>
      </c>
      <c r="CN94" s="211"/>
      <c r="CO94" s="227"/>
      <c r="CP94" s="436" t="s">
        <v>22</v>
      </c>
      <c r="CQ94" s="853">
        <f>CQ42+CD94</f>
        <v>207399.32</v>
      </c>
      <c r="CR94" s="853">
        <f>CR42+CE94</f>
        <v>107516.38999999998</v>
      </c>
      <c r="CS94" s="853">
        <f>CS42+CF94</f>
        <v>0</v>
      </c>
      <c r="CT94" s="785">
        <f>CT42+CG94</f>
        <v>219.54147063483271</v>
      </c>
      <c r="CU94" s="152">
        <f>+CR94+CS94-CT94</f>
        <v>107296.84852936515</v>
      </c>
      <c r="CV94" s="818">
        <f>IF(CR94=0,"-",CU94/CR94)</f>
        <v>0.99795806508538054</v>
      </c>
      <c r="CW94" s="818">
        <f>IF(ISERROR(CT94/CR94),"-",CT94/CR94)</f>
        <v>2.0419349146193685E-3</v>
      </c>
      <c r="CX94" s="781">
        <f>CQ94-CR94</f>
        <v>99882.930000000022</v>
      </c>
      <c r="CY94" s="785">
        <f>CR94-CU94</f>
        <v>219.54147063483833</v>
      </c>
      <c r="CZ94" s="777">
        <f>CQ94-CU94</f>
        <v>100102.47147063486</v>
      </c>
      <c r="DA94" s="211"/>
      <c r="DB94" s="382"/>
      <c r="DC94" s="436" t="s">
        <v>22</v>
      </c>
      <c r="DD94" s="853">
        <f>DD42+CQ94</f>
        <v>231932.07</v>
      </c>
      <c r="DE94" s="853">
        <f>DE42+CR94</f>
        <v>107516.38999999998</v>
      </c>
      <c r="DF94" s="853">
        <f>DF42+CS94</f>
        <v>0</v>
      </c>
      <c r="DG94" s="785">
        <f>DG42+CT94</f>
        <v>219.54147063483271</v>
      </c>
      <c r="DH94" s="152">
        <f>+DE94+DF94-DG94</f>
        <v>107296.84852936515</v>
      </c>
      <c r="DI94" s="818">
        <f>IF(DE94=0,"-",DH94/DE94)</f>
        <v>0.99795806508538054</v>
      </c>
      <c r="DJ94" s="818">
        <f>IF(ISERROR(DG94/DE94),"-",DG94/DE94)</f>
        <v>2.0419349146193685E-3</v>
      </c>
      <c r="DK94" s="781">
        <f>DD94-DE94</f>
        <v>124415.68000000002</v>
      </c>
      <c r="DL94" s="785">
        <f>DE94-DH94</f>
        <v>219.54147063483833</v>
      </c>
      <c r="DM94" s="777">
        <f>DD94-DH94</f>
        <v>124635.22147063486</v>
      </c>
      <c r="DN94" s="25"/>
      <c r="DO94" s="228"/>
      <c r="DP94" s="436" t="s">
        <v>22</v>
      </c>
      <c r="DQ94" s="853">
        <f>DQ42+DD94</f>
        <v>258259.37</v>
      </c>
      <c r="DR94" s="853">
        <f>DR42+DE94</f>
        <v>107516.38999999998</v>
      </c>
      <c r="DS94" s="853">
        <f>DS42+DF94</f>
        <v>0</v>
      </c>
      <c r="DT94" s="785">
        <f>DT42+DG94</f>
        <v>219.54147063483271</v>
      </c>
      <c r="DU94" s="152">
        <f>+DR94+DS94-DT94</f>
        <v>107296.84852936515</v>
      </c>
      <c r="DV94" s="818">
        <f>IF(DR94=0,"-",DU94/DR94)</f>
        <v>0.99795806508538054</v>
      </c>
      <c r="DW94" s="818">
        <f>IF(ISERROR(DT94/DR94),"-",DT94/DR94)</f>
        <v>2.0419349146193685E-3</v>
      </c>
      <c r="DX94" s="781">
        <f>DQ94-DR94</f>
        <v>150742.98000000001</v>
      </c>
      <c r="DY94" s="785">
        <f>DR94-DU94</f>
        <v>219.54147063483833</v>
      </c>
      <c r="DZ94" s="777">
        <f>DQ94-DU94</f>
        <v>150962.52147063485</v>
      </c>
      <c r="EA94" s="785"/>
      <c r="EB94" s="243"/>
      <c r="EC94" s="436" t="s">
        <v>22</v>
      </c>
      <c r="ED94" s="853">
        <f>ED42+DQ94</f>
        <v>284121.40999999997</v>
      </c>
      <c r="EE94" s="853">
        <f>EE42+DR94</f>
        <v>107516.38999999998</v>
      </c>
      <c r="EF94" s="853">
        <f>EF42+DS94</f>
        <v>0</v>
      </c>
      <c r="EG94" s="785">
        <f>EG42+DT94</f>
        <v>219.54147063483271</v>
      </c>
      <c r="EH94" s="152">
        <f>+EE94+EF94-EG94</f>
        <v>107296.84852936515</v>
      </c>
      <c r="EI94" s="818">
        <f>IF(EE94=0,"-",EH94/EE94)</f>
        <v>0.99795806508538054</v>
      </c>
      <c r="EJ94" s="818">
        <f>IF(ISERROR(EG94/EE94),"-",EG94/EE94)</f>
        <v>2.0419349146193685E-3</v>
      </c>
      <c r="EK94" s="781">
        <f>ED94-EE94</f>
        <v>176605.02</v>
      </c>
      <c r="EL94" s="785">
        <f>EE94-EH94</f>
        <v>219.54147063483833</v>
      </c>
      <c r="EM94" s="777">
        <f>ED94-EH94</f>
        <v>176824.56147063483</v>
      </c>
      <c r="EN94" s="25"/>
      <c r="EO94" s="792"/>
      <c r="EP94" s="436" t="s">
        <v>22</v>
      </c>
      <c r="EQ94" s="853">
        <f>EQ42+ED94</f>
        <v>309811.90999999997</v>
      </c>
      <c r="ER94" s="853">
        <f>ER42+EE94</f>
        <v>107516.38999999998</v>
      </c>
      <c r="ES94" s="853">
        <f>ES42+EF94</f>
        <v>0</v>
      </c>
      <c r="ET94" s="785">
        <f>ET42+EG94</f>
        <v>219.54147063483271</v>
      </c>
      <c r="EU94" s="152">
        <f>+ER94+ES94-ET94</f>
        <v>107296.84852936515</v>
      </c>
      <c r="EV94" s="818">
        <f>IF(ER94=0,"-",EU94/ER94)</f>
        <v>0.99795806508538054</v>
      </c>
      <c r="EW94" s="818">
        <f>IF(ISERROR(ET94/ER94),"-",ET94/ER94)</f>
        <v>2.0419349146193685E-3</v>
      </c>
      <c r="EX94" s="781">
        <f>EQ94-ER94</f>
        <v>202295.52</v>
      </c>
      <c r="EY94" s="785">
        <f>ER94-EU94</f>
        <v>219.54147063483833</v>
      </c>
      <c r="EZ94" s="777">
        <f>EQ94-EU94</f>
        <v>202515.06147063483</v>
      </c>
      <c r="FA94" s="25"/>
      <c r="FB94" s="25"/>
      <c r="FC94" s="785"/>
      <c r="FD94" s="25"/>
      <c r="FE94" s="211"/>
      <c r="FF94" s="211"/>
      <c r="FG94" s="25"/>
      <c r="FH94" s="25"/>
      <c r="FI94" s="25"/>
      <c r="FJ94" s="25"/>
    </row>
    <row r="95" spans="1:166" s="208" customFormat="1">
      <c r="A95" s="777"/>
      <c r="B95" s="770"/>
      <c r="C95" s="459"/>
      <c r="D95" s="447"/>
      <c r="E95" s="447"/>
      <c r="F95" s="447"/>
      <c r="G95" s="772"/>
      <c r="H95" s="399"/>
      <c r="I95" s="779"/>
      <c r="J95" s="779"/>
      <c r="K95" s="770"/>
      <c r="L95" s="772"/>
      <c r="M95" s="780"/>
      <c r="N95" s="785"/>
      <c r="O95" s="793"/>
      <c r="P95" s="436"/>
      <c r="Q95" s="853"/>
      <c r="R95" s="853"/>
      <c r="S95" s="853"/>
      <c r="T95" s="785"/>
      <c r="U95" s="152"/>
      <c r="V95" s="818"/>
      <c r="W95" s="818"/>
      <c r="X95" s="781"/>
      <c r="Y95" s="785"/>
      <c r="Z95" s="777"/>
      <c r="AA95" s="25"/>
      <c r="AB95" s="783"/>
      <c r="AC95" s="436"/>
      <c r="AD95" s="853"/>
      <c r="AE95" s="853"/>
      <c r="AF95" s="853"/>
      <c r="AG95" s="772"/>
      <c r="AH95" s="152"/>
      <c r="AI95" s="818"/>
      <c r="AJ95" s="818"/>
      <c r="AK95" s="781"/>
      <c r="AL95" s="785"/>
      <c r="AM95" s="777"/>
      <c r="AN95" s="25"/>
      <c r="AO95" s="226"/>
      <c r="AP95" s="436"/>
      <c r="AQ95" s="853"/>
      <c r="AR95" s="853"/>
      <c r="AS95" s="853"/>
      <c r="AT95" s="772"/>
      <c r="AU95" s="152"/>
      <c r="AV95" s="818"/>
      <c r="AW95" s="818"/>
      <c r="AX95" s="781"/>
      <c r="AY95" s="785"/>
      <c r="AZ95" s="777"/>
      <c r="BA95" s="25"/>
      <c r="BB95" s="786"/>
      <c r="BC95" s="436"/>
      <c r="BD95" s="853"/>
      <c r="BE95" s="853"/>
      <c r="BF95" s="853"/>
      <c r="BG95" s="772"/>
      <c r="BH95" s="152"/>
      <c r="BI95" s="818"/>
      <c r="BJ95" s="818"/>
      <c r="BK95" s="781"/>
      <c r="BL95" s="785"/>
      <c r="BM95" s="777"/>
      <c r="BN95" s="25"/>
      <c r="BO95" s="241"/>
      <c r="BP95" s="436"/>
      <c r="BQ95" s="853"/>
      <c r="BR95" s="853"/>
      <c r="BS95" s="853"/>
      <c r="BT95" s="772"/>
      <c r="BU95" s="152"/>
      <c r="BV95" s="818"/>
      <c r="BW95" s="818"/>
      <c r="BX95" s="781"/>
      <c r="BY95" s="785"/>
      <c r="BZ95" s="777"/>
      <c r="CA95" s="25"/>
      <c r="CB95" s="242"/>
      <c r="CC95" s="436"/>
      <c r="CD95" s="853"/>
      <c r="CE95" s="853"/>
      <c r="CF95" s="853"/>
      <c r="CG95" s="785"/>
      <c r="CH95" s="152"/>
      <c r="CI95" s="818"/>
      <c r="CJ95" s="818"/>
      <c r="CK95" s="781"/>
      <c r="CL95" s="785"/>
      <c r="CM95" s="777"/>
      <c r="CN95" s="211"/>
      <c r="CO95" s="227"/>
      <c r="CP95" s="436"/>
      <c r="CQ95" s="853"/>
      <c r="CR95" s="853"/>
      <c r="CS95" s="853"/>
      <c r="CT95" s="785"/>
      <c r="CU95" s="152"/>
      <c r="CV95" s="818"/>
      <c r="CW95" s="818"/>
      <c r="CX95" s="781"/>
      <c r="CY95" s="785"/>
      <c r="CZ95" s="777"/>
      <c r="DA95" s="211"/>
      <c r="DB95" s="382"/>
      <c r="DC95" s="436"/>
      <c r="DD95" s="853"/>
      <c r="DE95" s="853"/>
      <c r="DF95" s="853"/>
      <c r="DG95" s="785"/>
      <c r="DH95" s="152"/>
      <c r="DI95" s="818"/>
      <c r="DJ95" s="818"/>
      <c r="DK95" s="781"/>
      <c r="DL95" s="785"/>
      <c r="DM95" s="777"/>
      <c r="DN95" s="25"/>
      <c r="DO95" s="228"/>
      <c r="DP95" s="436"/>
      <c r="DQ95" s="853"/>
      <c r="DR95" s="853"/>
      <c r="DS95" s="853"/>
      <c r="DT95" s="785"/>
      <c r="DU95" s="152"/>
      <c r="DV95" s="818"/>
      <c r="DW95" s="818"/>
      <c r="DX95" s="781"/>
      <c r="DY95" s="785"/>
      <c r="DZ95" s="777"/>
      <c r="EA95" s="785"/>
      <c r="EB95" s="243"/>
      <c r="EC95" s="436"/>
      <c r="ED95" s="853"/>
      <c r="EE95" s="853"/>
      <c r="EF95" s="853"/>
      <c r="EG95" s="785"/>
      <c r="EH95" s="152"/>
      <c r="EI95" s="818"/>
      <c r="EJ95" s="818"/>
      <c r="EK95" s="781"/>
      <c r="EL95" s="785"/>
      <c r="EM95" s="777"/>
      <c r="EN95" s="25"/>
      <c r="EO95" s="792"/>
      <c r="EP95" s="436"/>
      <c r="EQ95" s="853"/>
      <c r="ER95" s="853"/>
      <c r="ES95" s="853"/>
      <c r="ET95" s="785"/>
      <c r="EU95" s="152"/>
      <c r="EV95" s="818"/>
      <c r="EW95" s="818"/>
      <c r="EX95" s="781"/>
      <c r="EY95" s="785"/>
      <c r="EZ95" s="777"/>
      <c r="FA95" s="25"/>
      <c r="FB95" s="25"/>
      <c r="FC95" s="785"/>
      <c r="FD95" s="25"/>
      <c r="FE95" s="211"/>
      <c r="FF95" s="211"/>
      <c r="FG95" s="25"/>
      <c r="FH95" s="25"/>
      <c r="FI95" s="25"/>
      <c r="FJ95" s="25"/>
    </row>
    <row r="96" spans="1:166" s="208" customFormat="1">
      <c r="A96" s="777"/>
      <c r="B96" s="770"/>
      <c r="C96" s="459" t="s">
        <v>23</v>
      </c>
      <c r="D96" s="447">
        <f t="shared" ref="D96:G99" si="409">D44</f>
        <v>17264.150000000001</v>
      </c>
      <c r="E96" s="447">
        <f t="shared" si="409"/>
        <v>11058.949999999999</v>
      </c>
      <c r="F96" s="447">
        <f t="shared" si="409"/>
        <v>0</v>
      </c>
      <c r="G96" s="772">
        <f t="shared" si="409"/>
        <v>14.500000000000002</v>
      </c>
      <c r="H96" s="399">
        <f>+E96+F96-G96</f>
        <v>11044.449999999999</v>
      </c>
      <c r="I96" s="779">
        <f>IF(E96=0,"-",H96/E96)</f>
        <v>0.99868884478182829</v>
      </c>
      <c r="J96" s="779">
        <f>IF(ISERROR(G96/E96),"",G96/E96)</f>
        <v>1.3111552181717073E-3</v>
      </c>
      <c r="K96" s="770">
        <f>SUM($K$44:K44)</f>
        <v>6205.2000000000025</v>
      </c>
      <c r="L96" s="772">
        <f>SUM($L$44:L44)</f>
        <v>14.5</v>
      </c>
      <c r="M96" s="780">
        <f>SUM($M$44:M44)</f>
        <v>6219.7000000000025</v>
      </c>
      <c r="N96" s="785"/>
      <c r="O96" s="793"/>
      <c r="P96" s="436" t="s">
        <v>23</v>
      </c>
      <c r="Q96" s="853">
        <f t="shared" ref="Q96:T99" si="410">Q44+D96</f>
        <v>34552.53</v>
      </c>
      <c r="R96" s="853">
        <f t="shared" si="410"/>
        <v>21937.659999999996</v>
      </c>
      <c r="S96" s="853">
        <f t="shared" si="410"/>
        <v>0</v>
      </c>
      <c r="T96" s="785">
        <f t="shared" si="410"/>
        <v>63.800000000000004</v>
      </c>
      <c r="U96" s="152">
        <f>+R96+S96-T96</f>
        <v>21873.859999999997</v>
      </c>
      <c r="V96" s="818">
        <f t="shared" ref="V96:V99" si="411">IF(R96=0,"-",U96/R96)</f>
        <v>0.99709175910283965</v>
      </c>
      <c r="W96" s="818">
        <f t="shared" ref="W96:W99" si="412">IF(ISERROR(T96/R96),"-",T96/R96)</f>
        <v>2.9082408971604088E-3</v>
      </c>
      <c r="X96" s="781">
        <f>Q96-R96</f>
        <v>12614.870000000003</v>
      </c>
      <c r="Y96" s="785">
        <f>R96-U96</f>
        <v>63.799999999999272</v>
      </c>
      <c r="Z96" s="777">
        <f>Q96-U96</f>
        <v>12678.670000000002</v>
      </c>
      <c r="AA96" s="25"/>
      <c r="AB96" s="783"/>
      <c r="AC96" s="436" t="s">
        <v>23</v>
      </c>
      <c r="AD96" s="853">
        <f t="shared" ref="AD96:AG99" si="413">AD44+Q96</f>
        <v>51262.899999999994</v>
      </c>
      <c r="AE96" s="853">
        <f t="shared" si="413"/>
        <v>31351.229999999996</v>
      </c>
      <c r="AF96" s="853">
        <f t="shared" si="413"/>
        <v>0</v>
      </c>
      <c r="AG96" s="772">
        <f t="shared" si="413"/>
        <v>69.600000000000009</v>
      </c>
      <c r="AH96" s="152">
        <f>+AE96+AF96-AG96</f>
        <v>31281.629999999997</v>
      </c>
      <c r="AI96" s="818">
        <f>IF(AE96=0,"-",AH96/AE96)</f>
        <v>0.99777999140703577</v>
      </c>
      <c r="AJ96" s="818">
        <f t="shared" ref="AJ96:AJ99" si="414">IF(ISERROR(AG96/AE96),"-",AG96/AE96)</f>
        <v>2.2200085929642956E-3</v>
      </c>
      <c r="AK96" s="781">
        <f>AD96-AE96</f>
        <v>19911.669999999998</v>
      </c>
      <c r="AL96" s="785">
        <f>AE96-AH96</f>
        <v>69.599999999998545</v>
      </c>
      <c r="AM96" s="777">
        <f>AD96-AH96</f>
        <v>19981.269999999997</v>
      </c>
      <c r="AN96" s="25"/>
      <c r="AO96" s="226"/>
      <c r="AP96" s="436" t="s">
        <v>78</v>
      </c>
      <c r="AQ96" s="853">
        <f t="shared" ref="AQ96:AT99" si="415">AQ44+AD96</f>
        <v>68527.049999999988</v>
      </c>
      <c r="AR96" s="853">
        <f t="shared" si="415"/>
        <v>41550.039999999994</v>
      </c>
      <c r="AS96" s="853">
        <f t="shared" si="415"/>
        <v>0</v>
      </c>
      <c r="AT96" s="772">
        <f t="shared" si="415"/>
        <v>80.233333333333348</v>
      </c>
      <c r="AU96" s="152">
        <f>+AR96+AS96-AT96</f>
        <v>41469.806666666664</v>
      </c>
      <c r="AV96" s="818">
        <f>IF(AR96=0,"-",AU96/AR96)</f>
        <v>0.99806899503987645</v>
      </c>
      <c r="AW96" s="818">
        <f t="shared" ref="AW96:AW99" si="416">IF(ISERROR(AT96/AR96),"-",AT96/AR96)</f>
        <v>1.9310049601235851E-3</v>
      </c>
      <c r="AX96" s="781">
        <f>AQ96-AR96</f>
        <v>26977.009999999995</v>
      </c>
      <c r="AY96" s="785">
        <f>AR96-AU96</f>
        <v>80.233333333329938</v>
      </c>
      <c r="AZ96" s="777">
        <f>AQ96-AU96</f>
        <v>27057.243333333325</v>
      </c>
      <c r="BA96" s="25"/>
      <c r="BB96" s="786"/>
      <c r="BC96" s="436" t="s">
        <v>23</v>
      </c>
      <c r="BD96" s="853">
        <f t="shared" ref="BD96:BG99" si="417">BD44+AQ96</f>
        <v>85261.639999999985</v>
      </c>
      <c r="BE96" s="853">
        <f t="shared" si="417"/>
        <v>41550.039999999994</v>
      </c>
      <c r="BF96" s="853">
        <f t="shared" si="417"/>
        <v>0</v>
      </c>
      <c r="BG96" s="772">
        <f t="shared" si="417"/>
        <v>80.233333333333348</v>
      </c>
      <c r="BH96" s="152">
        <f>+BE96+BF96-BG96</f>
        <v>41469.806666666664</v>
      </c>
      <c r="BI96" s="818">
        <f t="shared" ref="BI96:BI99" si="418">IF(BE96=0,"-",BH96/BE96)</f>
        <v>0.99806899503987645</v>
      </c>
      <c r="BJ96" s="818">
        <f t="shared" ref="BJ96:BJ99" si="419">IF(ISERROR(BG96/BE96),"-",BG96/BE96)</f>
        <v>1.9310049601235851E-3</v>
      </c>
      <c r="BK96" s="781">
        <f>BD96-BE96</f>
        <v>43711.599999999991</v>
      </c>
      <c r="BL96" s="785">
        <f>BE96-BH96</f>
        <v>80.233333333329938</v>
      </c>
      <c r="BM96" s="777">
        <f>BD96-BH96</f>
        <v>43791.833333333321</v>
      </c>
      <c r="BN96" s="25"/>
      <c r="BO96" s="241"/>
      <c r="BP96" s="436" t="s">
        <v>23</v>
      </c>
      <c r="BQ96" s="853">
        <f t="shared" ref="BQ96:BT99" si="420">BQ44+BD96</f>
        <v>102525.78999999998</v>
      </c>
      <c r="BR96" s="853">
        <f t="shared" si="420"/>
        <v>41550.039999999994</v>
      </c>
      <c r="BS96" s="853">
        <f t="shared" si="420"/>
        <v>0</v>
      </c>
      <c r="BT96" s="772">
        <f t="shared" si="420"/>
        <v>80.233333333333348</v>
      </c>
      <c r="BU96" s="152">
        <f>+BR96+BS96-BT96</f>
        <v>41469.806666666664</v>
      </c>
      <c r="BV96" s="818">
        <f t="shared" ref="BV96:BV99" si="421">IF(BR96=0,"-",BU96/BR96)</f>
        <v>0.99806899503987645</v>
      </c>
      <c r="BW96" s="818">
        <f t="shared" ref="BW96:BW99" si="422">IF(ISERROR(BT96/BR96),"-",BT96/BR96)</f>
        <v>1.9310049601235851E-3</v>
      </c>
      <c r="BX96" s="781">
        <f>BQ96-BR96</f>
        <v>60975.749999999985</v>
      </c>
      <c r="BY96" s="785">
        <f>BR96-BU96</f>
        <v>80.233333333329938</v>
      </c>
      <c r="BZ96" s="777">
        <f>BQ96-BU96</f>
        <v>61055.983333333315</v>
      </c>
      <c r="CA96" s="25"/>
      <c r="CB96" s="242"/>
      <c r="CC96" s="436" t="s">
        <v>23</v>
      </c>
      <c r="CD96" s="853">
        <f t="shared" ref="CD96:CG99" si="423">CD44+BQ96</f>
        <v>119802.04999999997</v>
      </c>
      <c r="CE96" s="853">
        <f t="shared" si="423"/>
        <v>41550.039999999994</v>
      </c>
      <c r="CF96" s="853">
        <f t="shared" si="423"/>
        <v>0</v>
      </c>
      <c r="CG96" s="785">
        <f t="shared" si="423"/>
        <v>80.233333333333348</v>
      </c>
      <c r="CH96" s="152">
        <f>+CE96+CF96-CG96</f>
        <v>41469.806666666664</v>
      </c>
      <c r="CI96" s="818">
        <f>IF(CE96=0,"-",CH96/CE96)</f>
        <v>0.99806899503987645</v>
      </c>
      <c r="CJ96" s="818">
        <f t="shared" ref="CJ96:CJ99" si="424">IF(ISERROR(CG96/CE96),"-",CG96/CE96)</f>
        <v>1.9310049601235851E-3</v>
      </c>
      <c r="CK96" s="781">
        <f>CD96-CE96</f>
        <v>78252.00999999998</v>
      </c>
      <c r="CL96" s="785">
        <f>CE96-CH96</f>
        <v>80.233333333329938</v>
      </c>
      <c r="CM96" s="777">
        <f>CD96-CH96</f>
        <v>78332.243333333317</v>
      </c>
      <c r="CN96" s="211"/>
      <c r="CO96" s="227"/>
      <c r="CP96" s="436" t="s">
        <v>23</v>
      </c>
      <c r="CQ96" s="853">
        <f t="shared" ref="CQ96:CT99" si="425">CQ44+CD96</f>
        <v>137078.30999999997</v>
      </c>
      <c r="CR96" s="853">
        <f t="shared" si="425"/>
        <v>41550.039999999994</v>
      </c>
      <c r="CS96" s="853">
        <f t="shared" si="425"/>
        <v>0</v>
      </c>
      <c r="CT96" s="785">
        <f t="shared" si="425"/>
        <v>80.233333333333348</v>
      </c>
      <c r="CU96" s="152">
        <f>+CR96+CS96-CT96</f>
        <v>41469.806666666664</v>
      </c>
      <c r="CV96" s="818">
        <f t="shared" ref="CV96:CV99" si="426">IF(CR96=0,"-",CU96/CR96)</f>
        <v>0.99806899503987645</v>
      </c>
      <c r="CW96" s="818">
        <f t="shared" ref="CW96:CW99" si="427">IF(ISERROR(CT96/CR96),"-",CT96/CR96)</f>
        <v>1.9310049601235851E-3</v>
      </c>
      <c r="CX96" s="781">
        <f>CQ96-CR96</f>
        <v>95528.269999999975</v>
      </c>
      <c r="CY96" s="785">
        <f>CR96-CU96</f>
        <v>80.233333333329938</v>
      </c>
      <c r="CZ96" s="777">
        <f>CQ96-CU96</f>
        <v>95608.503333333298</v>
      </c>
      <c r="DA96" s="211"/>
      <c r="DB96" s="382"/>
      <c r="DC96" s="436" t="s">
        <v>23</v>
      </c>
      <c r="DD96" s="853">
        <f t="shared" ref="DD96:DG99" si="428">DD44+CQ96</f>
        <v>153247.00999999998</v>
      </c>
      <c r="DE96" s="853">
        <f t="shared" si="428"/>
        <v>41550.039999999994</v>
      </c>
      <c r="DF96" s="853">
        <f t="shared" si="428"/>
        <v>0</v>
      </c>
      <c r="DG96" s="785">
        <f t="shared" si="428"/>
        <v>80.233333333333348</v>
      </c>
      <c r="DH96" s="152">
        <f>+DE96+DF96-DG96</f>
        <v>41469.806666666664</v>
      </c>
      <c r="DI96" s="818">
        <f t="shared" ref="DI96:DI99" si="429">IF(DE96=0,"-",DH96/DE96)</f>
        <v>0.99806899503987645</v>
      </c>
      <c r="DJ96" s="818">
        <f t="shared" ref="DJ96:DJ99" si="430">IF(ISERROR(DG96/DE96),"-",DG96/DE96)</f>
        <v>1.9310049601235851E-3</v>
      </c>
      <c r="DK96" s="781">
        <f>DD96-DE96</f>
        <v>111696.96999999999</v>
      </c>
      <c r="DL96" s="785">
        <f>DE96-DH96</f>
        <v>80.233333333329938</v>
      </c>
      <c r="DM96" s="777">
        <f>DD96-DH96</f>
        <v>111777.20333333331</v>
      </c>
      <c r="DN96" s="25"/>
      <c r="DO96" s="228"/>
      <c r="DP96" s="436" t="s">
        <v>23</v>
      </c>
      <c r="DQ96" s="853">
        <f t="shared" ref="DQ96:DT99" si="431">DQ44+DD96</f>
        <v>170511.15999999997</v>
      </c>
      <c r="DR96" s="853">
        <f t="shared" si="431"/>
        <v>41550.039999999994</v>
      </c>
      <c r="DS96" s="853">
        <f t="shared" si="431"/>
        <v>0</v>
      </c>
      <c r="DT96" s="785">
        <f t="shared" si="431"/>
        <v>80.233333333333348</v>
      </c>
      <c r="DU96" s="152">
        <f>+DR96+DS96-DT96</f>
        <v>41469.806666666664</v>
      </c>
      <c r="DV96" s="818">
        <f t="shared" ref="DV96:DV99" si="432">IF(DR96=0,"-",DU96/DR96)</f>
        <v>0.99806899503987645</v>
      </c>
      <c r="DW96" s="818">
        <f t="shared" ref="DW96:DW99" si="433">IF(ISERROR(DT96/DR96),"-",DT96/DR96)</f>
        <v>1.9310049601235851E-3</v>
      </c>
      <c r="DX96" s="781">
        <f>DQ96-DR96</f>
        <v>128961.11999999998</v>
      </c>
      <c r="DY96" s="785">
        <f>DR96-DU96</f>
        <v>80.233333333329938</v>
      </c>
      <c r="DZ96" s="777">
        <f>DQ96-DU96</f>
        <v>129041.3533333333</v>
      </c>
      <c r="EA96" s="785"/>
      <c r="EB96" s="243"/>
      <c r="EC96" s="436" t="s">
        <v>23</v>
      </c>
      <c r="ED96" s="853">
        <f t="shared" ref="ED96:EG99" si="434">ED44+DQ96</f>
        <v>187799.53999999998</v>
      </c>
      <c r="EE96" s="853">
        <f t="shared" si="434"/>
        <v>41550.039999999994</v>
      </c>
      <c r="EF96" s="853">
        <f t="shared" si="434"/>
        <v>0</v>
      </c>
      <c r="EG96" s="785">
        <f t="shared" si="434"/>
        <v>80.233333333333348</v>
      </c>
      <c r="EH96" s="152">
        <f>+EE96+EF96-EG96</f>
        <v>41469.806666666664</v>
      </c>
      <c r="EI96" s="818">
        <f t="shared" ref="EI96:EI99" si="435">IF(EE96=0,"-",EH96/EE96)</f>
        <v>0.99806899503987645</v>
      </c>
      <c r="EJ96" s="818">
        <f t="shared" ref="EJ96:EJ99" si="436">IF(ISERROR(EG96/EE96),"-",EG96/EE96)</f>
        <v>1.9310049601235851E-3</v>
      </c>
      <c r="EK96" s="781">
        <f>ED96-EE96</f>
        <v>146249.5</v>
      </c>
      <c r="EL96" s="785">
        <f>EE96-EH96</f>
        <v>80.233333333329938</v>
      </c>
      <c r="EM96" s="777">
        <f>ED96-EH96</f>
        <v>146329.73333333331</v>
      </c>
      <c r="EN96" s="25"/>
      <c r="EO96" s="792"/>
      <c r="EP96" s="436" t="s">
        <v>23</v>
      </c>
      <c r="EQ96" s="853">
        <f t="shared" ref="EQ96:ET99" si="437">EQ44+ED96</f>
        <v>204509.90999999997</v>
      </c>
      <c r="ER96" s="853">
        <f t="shared" si="437"/>
        <v>41550.039999999994</v>
      </c>
      <c r="ES96" s="853">
        <f t="shared" si="437"/>
        <v>0</v>
      </c>
      <c r="ET96" s="785">
        <f t="shared" si="437"/>
        <v>80.233333333333348</v>
      </c>
      <c r="EU96" s="152">
        <f>+ER96+ES96-ET96</f>
        <v>41469.806666666664</v>
      </c>
      <c r="EV96" s="818">
        <f t="shared" ref="EV96:EV99" si="438">IF(ER96=0,"-",EU96/ER96)</f>
        <v>0.99806899503987645</v>
      </c>
      <c r="EW96" s="818">
        <f t="shared" ref="EW96:EW99" si="439">IF(ISERROR(ET96/ER96),"-",ET96/ER96)</f>
        <v>1.9310049601235851E-3</v>
      </c>
      <c r="EX96" s="781">
        <f>EQ96-ER96</f>
        <v>162959.87</v>
      </c>
      <c r="EY96" s="785">
        <f>ER96-EU96</f>
        <v>80.233333333329938</v>
      </c>
      <c r="EZ96" s="777">
        <f>EQ96-EU96</f>
        <v>163040.1033333333</v>
      </c>
      <c r="FA96" s="25"/>
      <c r="FB96" s="25"/>
      <c r="FC96" s="785"/>
      <c r="FD96" s="25"/>
      <c r="FE96" s="211"/>
      <c r="FF96" s="211"/>
      <c r="FG96" s="25"/>
      <c r="FH96" s="25"/>
      <c r="FI96" s="25"/>
      <c r="FJ96" s="25"/>
    </row>
    <row r="97" spans="1:166" s="208" customFormat="1">
      <c r="A97" s="777"/>
      <c r="B97" s="770"/>
      <c r="C97" s="459" t="s">
        <v>24</v>
      </c>
      <c r="D97" s="447">
        <f t="shared" si="409"/>
        <v>19745.64</v>
      </c>
      <c r="E97" s="447">
        <f t="shared" si="409"/>
        <v>20357.550000000007</v>
      </c>
      <c r="F97" s="447">
        <f t="shared" si="409"/>
        <v>0</v>
      </c>
      <c r="G97" s="772">
        <f t="shared" si="409"/>
        <v>14.1</v>
      </c>
      <c r="H97" s="399">
        <f>+E97+F97-G97</f>
        <v>20343.450000000008</v>
      </c>
      <c r="I97" s="779">
        <f>IF(E97=0,"-",H97/E97)</f>
        <v>0.99930738227340721</v>
      </c>
      <c r="J97" s="779">
        <f>IF(ISERROR(G97/E97),"",G97/E97)</f>
        <v>6.9261772659283633E-4</v>
      </c>
      <c r="K97" s="770">
        <f>D97-E97</f>
        <v>-611.91000000000713</v>
      </c>
      <c r="L97" s="772">
        <f>E97-H97</f>
        <v>14.099999999998545</v>
      </c>
      <c r="M97" s="780">
        <f>D97-H97</f>
        <v>-597.81000000000859</v>
      </c>
      <c r="N97" s="785"/>
      <c r="O97" s="793"/>
      <c r="P97" s="436" t="s">
        <v>24</v>
      </c>
      <c r="Q97" s="853">
        <f t="shared" si="410"/>
        <v>39501.89</v>
      </c>
      <c r="R97" s="853">
        <f t="shared" si="410"/>
        <v>40653.94</v>
      </c>
      <c r="S97" s="853">
        <f t="shared" si="410"/>
        <v>0</v>
      </c>
      <c r="T97" s="785">
        <f t="shared" si="410"/>
        <v>58.476643923406783</v>
      </c>
      <c r="U97" s="152">
        <f>+R97+S97-T97</f>
        <v>40595.463356076594</v>
      </c>
      <c r="V97" s="818">
        <f t="shared" si="411"/>
        <v>0.99856159959100133</v>
      </c>
      <c r="W97" s="818">
        <f t="shared" si="412"/>
        <v>1.4384004089986551E-3</v>
      </c>
      <c r="X97" s="781">
        <f t="shared" ref="X97:X101" si="440">Q97-R97</f>
        <v>-1152.0500000000029</v>
      </c>
      <c r="Y97" s="785">
        <f>R97-U97</f>
        <v>58.476643923408119</v>
      </c>
      <c r="Z97" s="777">
        <f>Q97-U97</f>
        <v>-1093.5733560765948</v>
      </c>
      <c r="AA97" s="25"/>
      <c r="AB97" s="783"/>
      <c r="AC97" s="436" t="s">
        <v>24</v>
      </c>
      <c r="AD97" s="853">
        <f t="shared" si="413"/>
        <v>58312.11</v>
      </c>
      <c r="AE97" s="853">
        <f t="shared" si="413"/>
        <v>59103.03</v>
      </c>
      <c r="AF97" s="853">
        <f t="shared" si="413"/>
        <v>2.35</v>
      </c>
      <c r="AG97" s="772">
        <f t="shared" si="413"/>
        <v>85.331531806205703</v>
      </c>
      <c r="AH97" s="152">
        <f>+AE97+AF97-AG97</f>
        <v>59020.048468193789</v>
      </c>
      <c r="AI97" s="818">
        <f>IF(AE97=0,"-",AH97/AE97)</f>
        <v>0.99859598514989489</v>
      </c>
      <c r="AJ97" s="818">
        <f t="shared" si="414"/>
        <v>1.4437759249602889E-3</v>
      </c>
      <c r="AK97" s="781">
        <f>AD97-AE97</f>
        <v>-790.91999999999825</v>
      </c>
      <c r="AL97" s="785">
        <f>AE97-AH97</f>
        <v>82.981531806210114</v>
      </c>
      <c r="AM97" s="777">
        <f>AD97-AH97</f>
        <v>-707.93846819378814</v>
      </c>
      <c r="AN97" s="25"/>
      <c r="AO97" s="226"/>
      <c r="AP97" s="436" t="s">
        <v>79</v>
      </c>
      <c r="AQ97" s="853">
        <f t="shared" si="415"/>
        <v>77825.38</v>
      </c>
      <c r="AR97" s="853">
        <f t="shared" si="415"/>
        <v>78328.72</v>
      </c>
      <c r="AS97" s="853">
        <f t="shared" si="415"/>
        <v>2.35</v>
      </c>
      <c r="AT97" s="772">
        <f t="shared" si="415"/>
        <v>172.0296357666939</v>
      </c>
      <c r="AU97" s="152">
        <f>+AR97+AS97-AT97</f>
        <v>78159.040364233311</v>
      </c>
      <c r="AV97" s="818">
        <f>IF(AR97=0,"-",AU97/AR97)</f>
        <v>0.99783374941187997</v>
      </c>
      <c r="AW97" s="818">
        <f t="shared" si="416"/>
        <v>2.1962523550326609E-3</v>
      </c>
      <c r="AX97" s="781">
        <f>AQ97-AR97</f>
        <v>-503.33999999999651</v>
      </c>
      <c r="AY97" s="785">
        <f>AR97-AU97</f>
        <v>169.6796357666899</v>
      </c>
      <c r="AZ97" s="777">
        <f>AQ97-AU97</f>
        <v>-333.66036423330661</v>
      </c>
      <c r="BA97" s="25"/>
      <c r="BB97" s="786"/>
      <c r="BC97" s="436" t="s">
        <v>24</v>
      </c>
      <c r="BD97" s="853">
        <f t="shared" si="417"/>
        <v>96646.21</v>
      </c>
      <c r="BE97" s="853">
        <f t="shared" si="417"/>
        <v>78328.72</v>
      </c>
      <c r="BF97" s="853">
        <f t="shared" si="417"/>
        <v>2.35</v>
      </c>
      <c r="BG97" s="772">
        <f t="shared" si="417"/>
        <v>172.0296357666939</v>
      </c>
      <c r="BH97" s="152">
        <f>+BE97+BF97-BG97</f>
        <v>78159.040364233311</v>
      </c>
      <c r="BI97" s="818">
        <f t="shared" si="418"/>
        <v>0.99783374941187997</v>
      </c>
      <c r="BJ97" s="818">
        <f t="shared" si="419"/>
        <v>2.1962523550326609E-3</v>
      </c>
      <c r="BK97" s="781">
        <f>BD97-BE97</f>
        <v>18317.490000000005</v>
      </c>
      <c r="BL97" s="785">
        <f>BE97-BH97</f>
        <v>169.6796357666899</v>
      </c>
      <c r="BM97" s="777">
        <f>BD97-BH97</f>
        <v>18487.169635766695</v>
      </c>
      <c r="BN97" s="25"/>
      <c r="BO97" s="241"/>
      <c r="BP97" s="436" t="s">
        <v>24</v>
      </c>
      <c r="BQ97" s="853">
        <f t="shared" si="420"/>
        <v>116159.48000000001</v>
      </c>
      <c r="BR97" s="853">
        <f t="shared" si="420"/>
        <v>78328.72</v>
      </c>
      <c r="BS97" s="853">
        <f t="shared" si="420"/>
        <v>2.35</v>
      </c>
      <c r="BT97" s="772">
        <f t="shared" si="420"/>
        <v>172.0296357666939</v>
      </c>
      <c r="BU97" s="152">
        <f>+BR97+BS97-BT97</f>
        <v>78159.040364233311</v>
      </c>
      <c r="BV97" s="818">
        <f t="shared" si="421"/>
        <v>0.99783374941187997</v>
      </c>
      <c r="BW97" s="818">
        <f t="shared" si="422"/>
        <v>2.1962523550326609E-3</v>
      </c>
      <c r="BX97" s="781">
        <f>BQ97-BR97</f>
        <v>37830.760000000009</v>
      </c>
      <c r="BY97" s="785">
        <f>BR97-BU97</f>
        <v>169.6796357666899</v>
      </c>
      <c r="BZ97" s="777">
        <f>BQ97-BU97</f>
        <v>38000.439635766699</v>
      </c>
      <c r="CA97" s="25"/>
      <c r="CB97" s="242"/>
      <c r="CC97" s="436" t="s">
        <v>24</v>
      </c>
      <c r="CD97" s="853">
        <f t="shared" si="423"/>
        <v>135678.11000000002</v>
      </c>
      <c r="CE97" s="853">
        <f t="shared" si="423"/>
        <v>78328.72</v>
      </c>
      <c r="CF97" s="853">
        <f t="shared" si="423"/>
        <v>2.35</v>
      </c>
      <c r="CG97" s="785">
        <f t="shared" si="423"/>
        <v>172.0296357666939</v>
      </c>
      <c r="CH97" s="152">
        <f>+CE97+CF97-CG97</f>
        <v>78159.040364233311</v>
      </c>
      <c r="CI97" s="818">
        <f>IF(CE97=0,"-",CH97/CE97)</f>
        <v>0.99783374941187997</v>
      </c>
      <c r="CJ97" s="818">
        <f t="shared" si="424"/>
        <v>2.1962523550326609E-3</v>
      </c>
      <c r="CK97" s="781">
        <f>CD97-CE97</f>
        <v>57349.390000000014</v>
      </c>
      <c r="CL97" s="785">
        <f>CE97-CH97</f>
        <v>169.6796357666899</v>
      </c>
      <c r="CM97" s="777">
        <f>CD97-CH97</f>
        <v>57519.069635766704</v>
      </c>
      <c r="CN97" s="211"/>
      <c r="CO97" s="227"/>
      <c r="CP97" s="436" t="s">
        <v>24</v>
      </c>
      <c r="CQ97" s="853">
        <f t="shared" si="425"/>
        <v>155196.74000000002</v>
      </c>
      <c r="CR97" s="853">
        <f t="shared" si="425"/>
        <v>78328.72</v>
      </c>
      <c r="CS97" s="853">
        <f t="shared" si="425"/>
        <v>2.35</v>
      </c>
      <c r="CT97" s="785">
        <f t="shared" si="425"/>
        <v>172.0296357666939</v>
      </c>
      <c r="CU97" s="152">
        <f>+CR97+CS97-CT97</f>
        <v>78159.040364233311</v>
      </c>
      <c r="CV97" s="818">
        <f t="shared" si="426"/>
        <v>0.99783374941187997</v>
      </c>
      <c r="CW97" s="818">
        <f t="shared" si="427"/>
        <v>2.1962523550326609E-3</v>
      </c>
      <c r="CX97" s="781">
        <f>CQ97-CR97</f>
        <v>76868.020000000019</v>
      </c>
      <c r="CY97" s="785">
        <f>CR97-CU97</f>
        <v>169.6796357666899</v>
      </c>
      <c r="CZ97" s="777">
        <f>CQ97-CU97</f>
        <v>77037.699635766709</v>
      </c>
      <c r="DA97" s="211"/>
      <c r="DB97" s="382"/>
      <c r="DC97" s="436" t="s">
        <v>24</v>
      </c>
      <c r="DD97" s="853">
        <f t="shared" si="428"/>
        <v>173541.54</v>
      </c>
      <c r="DE97" s="853">
        <f t="shared" si="428"/>
        <v>78328.72</v>
      </c>
      <c r="DF97" s="853">
        <f t="shared" si="428"/>
        <v>2.35</v>
      </c>
      <c r="DG97" s="785">
        <f t="shared" si="428"/>
        <v>172.0296357666939</v>
      </c>
      <c r="DH97" s="152">
        <f>+DE97+DF97-DG97</f>
        <v>78159.040364233311</v>
      </c>
      <c r="DI97" s="818">
        <f t="shared" si="429"/>
        <v>0.99783374941187997</v>
      </c>
      <c r="DJ97" s="818">
        <f t="shared" si="430"/>
        <v>2.1962523550326609E-3</v>
      </c>
      <c r="DK97" s="781">
        <f>DD97-DE97</f>
        <v>95212.82</v>
      </c>
      <c r="DL97" s="785">
        <f>DE97-DH97</f>
        <v>169.6796357666899</v>
      </c>
      <c r="DM97" s="777">
        <f>DD97-DH97</f>
        <v>95382.499635766697</v>
      </c>
      <c r="DN97" s="25"/>
      <c r="DO97" s="228"/>
      <c r="DP97" s="436" t="s">
        <v>24</v>
      </c>
      <c r="DQ97" s="853">
        <f t="shared" si="431"/>
        <v>193287.18</v>
      </c>
      <c r="DR97" s="853">
        <f t="shared" si="431"/>
        <v>78328.72</v>
      </c>
      <c r="DS97" s="853">
        <f t="shared" si="431"/>
        <v>2.35</v>
      </c>
      <c r="DT97" s="785">
        <f t="shared" si="431"/>
        <v>172.0296357666939</v>
      </c>
      <c r="DU97" s="152">
        <f>+DR97+DS97-DT97</f>
        <v>78159.040364233311</v>
      </c>
      <c r="DV97" s="818">
        <f t="shared" si="432"/>
        <v>0.99783374941187997</v>
      </c>
      <c r="DW97" s="818">
        <f t="shared" si="433"/>
        <v>2.1962523550326609E-3</v>
      </c>
      <c r="DX97" s="781">
        <f>DQ97-DR97</f>
        <v>114958.45999999999</v>
      </c>
      <c r="DY97" s="785">
        <f>DR97-DU97</f>
        <v>169.6796357666899</v>
      </c>
      <c r="DZ97" s="777">
        <f>DQ97-DU97</f>
        <v>115128.13963576668</v>
      </c>
      <c r="EA97" s="785"/>
      <c r="EB97" s="243"/>
      <c r="EC97" s="436" t="s">
        <v>24</v>
      </c>
      <c r="ED97" s="853">
        <f t="shared" si="434"/>
        <v>212578.69</v>
      </c>
      <c r="EE97" s="853">
        <f t="shared" si="434"/>
        <v>78328.72</v>
      </c>
      <c r="EF97" s="853">
        <f t="shared" si="434"/>
        <v>2.35</v>
      </c>
      <c r="EG97" s="785">
        <f t="shared" si="434"/>
        <v>172.0296357666939</v>
      </c>
      <c r="EH97" s="152">
        <f>+EE97+EF97-EG97</f>
        <v>78159.040364233311</v>
      </c>
      <c r="EI97" s="818">
        <f t="shared" si="435"/>
        <v>0.99783374941187997</v>
      </c>
      <c r="EJ97" s="818">
        <f t="shared" si="436"/>
        <v>2.1962523550326609E-3</v>
      </c>
      <c r="EK97" s="781">
        <f>ED97-EE97</f>
        <v>134249.97</v>
      </c>
      <c r="EL97" s="785">
        <f>EE97-EH97</f>
        <v>169.6796357666899</v>
      </c>
      <c r="EM97" s="777">
        <f>ED97-EH97</f>
        <v>134419.64963576669</v>
      </c>
      <c r="EN97" s="25"/>
      <c r="EO97" s="792"/>
      <c r="EP97" s="436" t="s">
        <v>24</v>
      </c>
      <c r="EQ97" s="853">
        <f t="shared" si="437"/>
        <v>231853.65</v>
      </c>
      <c r="ER97" s="853">
        <f t="shared" si="437"/>
        <v>78328.72</v>
      </c>
      <c r="ES97" s="853">
        <f t="shared" si="437"/>
        <v>2.35</v>
      </c>
      <c r="ET97" s="785">
        <f t="shared" si="437"/>
        <v>172.0296357666939</v>
      </c>
      <c r="EU97" s="152">
        <f>+ER97+ES97-ET97</f>
        <v>78159.040364233311</v>
      </c>
      <c r="EV97" s="818">
        <f t="shared" si="438"/>
        <v>0.99783374941187997</v>
      </c>
      <c r="EW97" s="818">
        <f t="shared" si="439"/>
        <v>2.1962523550326609E-3</v>
      </c>
      <c r="EX97" s="781">
        <f>EQ97-ER97</f>
        <v>153524.93</v>
      </c>
      <c r="EY97" s="785">
        <f>ER97-EU97</f>
        <v>169.6796357666899</v>
      </c>
      <c r="EZ97" s="777">
        <f>EQ97-EU97</f>
        <v>153694.60963576668</v>
      </c>
      <c r="FA97" s="25"/>
      <c r="FB97" s="25"/>
      <c r="FC97" s="785"/>
      <c r="FD97" s="25"/>
      <c r="FE97" s="211"/>
      <c r="FF97" s="211"/>
      <c r="FG97" s="25"/>
      <c r="FH97" s="25"/>
      <c r="FI97" s="25"/>
      <c r="FJ97" s="25"/>
    </row>
    <row r="98" spans="1:166" s="208" customFormat="1">
      <c r="A98" s="777"/>
      <c r="B98" s="770"/>
      <c r="C98" s="459" t="s">
        <v>25</v>
      </c>
      <c r="D98" s="447">
        <f t="shared" si="409"/>
        <v>10837.71</v>
      </c>
      <c r="E98" s="447">
        <f t="shared" si="409"/>
        <v>9492.9599999999991</v>
      </c>
      <c r="F98" s="447">
        <f t="shared" si="409"/>
        <v>0</v>
      </c>
      <c r="G98" s="772">
        <f t="shared" si="409"/>
        <v>8.9093706913111497</v>
      </c>
      <c r="H98" s="399">
        <f>+E98+F98-G98</f>
        <v>9484.0506293086873</v>
      </c>
      <c r="I98" s="779">
        <f>IF(E98=0,"-",H98/E98)</f>
        <v>0.99906147601050554</v>
      </c>
      <c r="J98" s="779">
        <f>IF(ISERROR(G98/E98),"",G98/E98)</f>
        <v>9.3852398949444116E-4</v>
      </c>
      <c r="K98" s="770">
        <f>SUM($K$46:K46)</f>
        <v>1344.75</v>
      </c>
      <c r="L98" s="772">
        <f>SUM($L$46:L46)</f>
        <v>8.9093706913117785</v>
      </c>
      <c r="M98" s="780">
        <f>SUM($M$46:M46)</f>
        <v>1353.6593706913118</v>
      </c>
      <c r="N98" s="785"/>
      <c r="O98" s="793"/>
      <c r="P98" s="436" t="s">
        <v>25</v>
      </c>
      <c r="Q98" s="853">
        <f t="shared" si="410"/>
        <v>21695.43</v>
      </c>
      <c r="R98" s="853">
        <f t="shared" si="410"/>
        <v>18946.97</v>
      </c>
      <c r="S98" s="853">
        <f t="shared" si="410"/>
        <v>0</v>
      </c>
      <c r="T98" s="772">
        <f t="shared" si="410"/>
        <v>26.67607173271394</v>
      </c>
      <c r="U98" s="152">
        <f>+R98+S98-T98</f>
        <v>18920.293928267289</v>
      </c>
      <c r="V98" s="818">
        <f t="shared" si="411"/>
        <v>0.99859206660839639</v>
      </c>
      <c r="W98" s="818">
        <f t="shared" si="412"/>
        <v>1.4079333916037203E-3</v>
      </c>
      <c r="X98" s="781">
        <f t="shared" si="440"/>
        <v>2748.4599999999991</v>
      </c>
      <c r="Y98" s="785">
        <f>R98-U98</f>
        <v>26.676071732712444</v>
      </c>
      <c r="Z98" s="777">
        <f>Q98-U98</f>
        <v>2775.1360717327116</v>
      </c>
      <c r="AA98" s="25"/>
      <c r="AB98" s="783"/>
      <c r="AC98" s="436" t="s">
        <v>25</v>
      </c>
      <c r="AD98" s="853">
        <f t="shared" si="413"/>
        <v>31956.18</v>
      </c>
      <c r="AE98" s="853">
        <f t="shared" si="413"/>
        <v>27875.52</v>
      </c>
      <c r="AF98" s="853">
        <f t="shared" si="413"/>
        <v>0</v>
      </c>
      <c r="AG98" s="772">
        <f t="shared" si="413"/>
        <v>37.681725276493879</v>
      </c>
      <c r="AH98" s="152">
        <f>+AE98+AF98-AG98</f>
        <v>27837.838274723508</v>
      </c>
      <c r="AI98" s="818">
        <f>IF(AE98=0,"-",AH98/AE98)</f>
        <v>0.99864821444491469</v>
      </c>
      <c r="AJ98" s="818">
        <f t="shared" si="414"/>
        <v>1.3517855550853896E-3</v>
      </c>
      <c r="AK98" s="781">
        <f>AD98-AE98</f>
        <v>4080.66</v>
      </c>
      <c r="AL98" s="785">
        <f>AE98-AH98</f>
        <v>37.681725276492216</v>
      </c>
      <c r="AM98" s="777">
        <f>AD98-AH98</f>
        <v>4118.3417252764921</v>
      </c>
      <c r="AN98" s="25"/>
      <c r="AO98" s="226"/>
      <c r="AP98" s="436" t="s">
        <v>80</v>
      </c>
      <c r="AQ98" s="853">
        <f t="shared" si="415"/>
        <v>42615.69</v>
      </c>
      <c r="AR98" s="853">
        <f t="shared" si="415"/>
        <v>37703.42</v>
      </c>
      <c r="AS98" s="853">
        <f t="shared" si="415"/>
        <v>0</v>
      </c>
      <c r="AT98" s="772">
        <f t="shared" si="415"/>
        <v>51.973959988852329</v>
      </c>
      <c r="AU98" s="152">
        <f>+AR98+AS98-AT98</f>
        <v>37651.446040011149</v>
      </c>
      <c r="AV98" s="818">
        <f>IF(AR98=0,"-",AU98/AR98)</f>
        <v>0.99862150542341122</v>
      </c>
      <c r="AW98" s="818">
        <f t="shared" si="416"/>
        <v>1.37849457658887E-3</v>
      </c>
      <c r="AX98" s="781">
        <f>AQ98-AR98</f>
        <v>4912.2700000000041</v>
      </c>
      <c r="AY98" s="785">
        <f>AR98-AU98</f>
        <v>51.973959988848947</v>
      </c>
      <c r="AZ98" s="777">
        <f>AQ98-AU98</f>
        <v>4964.243959988853</v>
      </c>
      <c r="BA98" s="25"/>
      <c r="BB98" s="786"/>
      <c r="BC98" s="436" t="s">
        <v>25</v>
      </c>
      <c r="BD98" s="853">
        <f t="shared" si="417"/>
        <v>52896.450000000004</v>
      </c>
      <c r="BE98" s="853">
        <f t="shared" si="417"/>
        <v>37703.42</v>
      </c>
      <c r="BF98" s="853">
        <f t="shared" si="417"/>
        <v>0</v>
      </c>
      <c r="BG98" s="772">
        <f t="shared" si="417"/>
        <v>51.973959988852329</v>
      </c>
      <c r="BH98" s="152">
        <f>+BE98+BF98-BG98</f>
        <v>37651.446040011149</v>
      </c>
      <c r="BI98" s="818">
        <f t="shared" si="418"/>
        <v>0.99862150542341122</v>
      </c>
      <c r="BJ98" s="818">
        <f t="shared" si="419"/>
        <v>1.37849457658887E-3</v>
      </c>
      <c r="BK98" s="781">
        <f>BD98-BE98</f>
        <v>15193.030000000006</v>
      </c>
      <c r="BL98" s="785">
        <f>BE98-BH98</f>
        <v>51.973959988848947</v>
      </c>
      <c r="BM98" s="777">
        <f>BD98-BH98</f>
        <v>15245.003959988855</v>
      </c>
      <c r="BN98" s="25"/>
      <c r="BO98" s="241"/>
      <c r="BP98" s="436" t="s">
        <v>25</v>
      </c>
      <c r="BQ98" s="853">
        <f t="shared" si="420"/>
        <v>63555.960000000006</v>
      </c>
      <c r="BR98" s="853">
        <f t="shared" si="420"/>
        <v>37703.42</v>
      </c>
      <c r="BS98" s="853">
        <f t="shared" si="420"/>
        <v>0</v>
      </c>
      <c r="BT98" s="772">
        <f t="shared" si="420"/>
        <v>51.973959988852329</v>
      </c>
      <c r="BU98" s="152">
        <f>+BR98+BS98-BT98</f>
        <v>37651.446040011149</v>
      </c>
      <c r="BV98" s="818">
        <f t="shared" si="421"/>
        <v>0.99862150542341122</v>
      </c>
      <c r="BW98" s="818">
        <f t="shared" si="422"/>
        <v>1.37849457658887E-3</v>
      </c>
      <c r="BX98" s="781">
        <f>BQ98-BR98</f>
        <v>25852.540000000008</v>
      </c>
      <c r="BY98" s="785">
        <f>BR98-BU98</f>
        <v>51.973959988848947</v>
      </c>
      <c r="BZ98" s="777">
        <f>BQ98-BU98</f>
        <v>25904.513959988857</v>
      </c>
      <c r="CA98" s="25"/>
      <c r="CB98" s="242"/>
      <c r="CC98" s="436" t="s">
        <v>25</v>
      </c>
      <c r="CD98" s="853">
        <f t="shared" si="423"/>
        <v>74225.47</v>
      </c>
      <c r="CE98" s="853">
        <f t="shared" si="423"/>
        <v>37703.42</v>
      </c>
      <c r="CF98" s="853">
        <f t="shared" si="423"/>
        <v>0</v>
      </c>
      <c r="CG98" s="785">
        <f t="shared" si="423"/>
        <v>51.973959988852329</v>
      </c>
      <c r="CH98" s="152">
        <f>+CE98+CF98-CG98</f>
        <v>37651.446040011149</v>
      </c>
      <c r="CI98" s="818">
        <f>IF(CE98=0,"-",CH98/CE98)</f>
        <v>0.99862150542341122</v>
      </c>
      <c r="CJ98" s="818">
        <f t="shared" si="424"/>
        <v>1.37849457658887E-3</v>
      </c>
      <c r="CK98" s="781">
        <f>CD98-CE98</f>
        <v>36522.050000000003</v>
      </c>
      <c r="CL98" s="785">
        <f>CE98-CH98</f>
        <v>51.973959988848947</v>
      </c>
      <c r="CM98" s="777">
        <f>CD98-CH98</f>
        <v>36574.023959988852</v>
      </c>
      <c r="CN98" s="211"/>
      <c r="CO98" s="227"/>
      <c r="CP98" s="436" t="s">
        <v>25</v>
      </c>
      <c r="CQ98" s="853">
        <f t="shared" si="425"/>
        <v>84894.98</v>
      </c>
      <c r="CR98" s="853">
        <f t="shared" si="425"/>
        <v>37703.42</v>
      </c>
      <c r="CS98" s="853">
        <f t="shared" si="425"/>
        <v>0</v>
      </c>
      <c r="CT98" s="785">
        <f t="shared" si="425"/>
        <v>51.973959988852329</v>
      </c>
      <c r="CU98" s="152">
        <f>+CR98+CS98-CT98</f>
        <v>37651.446040011149</v>
      </c>
      <c r="CV98" s="818">
        <f t="shared" si="426"/>
        <v>0.99862150542341122</v>
      </c>
      <c r="CW98" s="818">
        <f t="shared" si="427"/>
        <v>1.37849457658887E-3</v>
      </c>
      <c r="CX98" s="781">
        <f>CQ98-CR98</f>
        <v>47191.56</v>
      </c>
      <c r="CY98" s="785">
        <f>CR98-CU98</f>
        <v>51.973959988848947</v>
      </c>
      <c r="CZ98" s="777">
        <f>CQ98-CU98</f>
        <v>47243.533959988847</v>
      </c>
      <c r="DA98" s="211"/>
      <c r="DB98" s="382"/>
      <c r="DC98" s="436" t="s">
        <v>25</v>
      </c>
      <c r="DD98" s="853">
        <f t="shared" si="428"/>
        <v>94945.18</v>
      </c>
      <c r="DE98" s="853">
        <f t="shared" si="428"/>
        <v>37703.42</v>
      </c>
      <c r="DF98" s="853">
        <f t="shared" si="428"/>
        <v>0</v>
      </c>
      <c r="DG98" s="785">
        <f t="shared" si="428"/>
        <v>51.973959988852329</v>
      </c>
      <c r="DH98" s="152">
        <f>+DE98+DF98-DG98</f>
        <v>37651.446040011149</v>
      </c>
      <c r="DI98" s="818">
        <f t="shared" si="429"/>
        <v>0.99862150542341122</v>
      </c>
      <c r="DJ98" s="818">
        <f t="shared" si="430"/>
        <v>1.37849457658887E-3</v>
      </c>
      <c r="DK98" s="781">
        <f>DD98-DE98</f>
        <v>57241.759999999995</v>
      </c>
      <c r="DL98" s="785">
        <f>DE98-DH98</f>
        <v>51.973959988848947</v>
      </c>
      <c r="DM98" s="777">
        <f>DD98-DH98</f>
        <v>57293.733959988844</v>
      </c>
      <c r="DN98" s="25"/>
      <c r="DO98" s="228"/>
      <c r="DP98" s="436" t="s">
        <v>25</v>
      </c>
      <c r="DQ98" s="853">
        <f t="shared" si="431"/>
        <v>105782.88999999998</v>
      </c>
      <c r="DR98" s="853">
        <f t="shared" si="431"/>
        <v>37703.42</v>
      </c>
      <c r="DS98" s="853">
        <f t="shared" si="431"/>
        <v>0</v>
      </c>
      <c r="DT98" s="785">
        <f t="shared" si="431"/>
        <v>51.973959988852329</v>
      </c>
      <c r="DU98" s="152">
        <f>+DR98+DS98-DT98</f>
        <v>37651.446040011149</v>
      </c>
      <c r="DV98" s="818">
        <f t="shared" si="432"/>
        <v>0.99862150542341122</v>
      </c>
      <c r="DW98" s="818">
        <f t="shared" si="433"/>
        <v>1.37849457658887E-3</v>
      </c>
      <c r="DX98" s="781">
        <f>DQ98-DR98</f>
        <v>68079.469999999987</v>
      </c>
      <c r="DY98" s="785">
        <f>DR98-DU98</f>
        <v>51.973959988848947</v>
      </c>
      <c r="DZ98" s="777">
        <f>DQ98-DU98</f>
        <v>68131.443959988828</v>
      </c>
      <c r="EA98" s="785"/>
      <c r="EB98" s="243"/>
      <c r="EC98" s="436" t="s">
        <v>25</v>
      </c>
      <c r="ED98" s="853">
        <f t="shared" si="434"/>
        <v>116284.20999999999</v>
      </c>
      <c r="EE98" s="853">
        <f t="shared" si="434"/>
        <v>37703.42</v>
      </c>
      <c r="EF98" s="853">
        <f t="shared" si="434"/>
        <v>0</v>
      </c>
      <c r="EG98" s="785">
        <f t="shared" si="434"/>
        <v>51.973959988852329</v>
      </c>
      <c r="EH98" s="152">
        <f>+EE98+EF98-EG98</f>
        <v>37651.446040011149</v>
      </c>
      <c r="EI98" s="818">
        <f t="shared" si="435"/>
        <v>0.99862150542341122</v>
      </c>
      <c r="EJ98" s="818">
        <f t="shared" si="436"/>
        <v>1.37849457658887E-3</v>
      </c>
      <c r="EK98" s="781">
        <f>ED98-EE98</f>
        <v>78580.789999999994</v>
      </c>
      <c r="EL98" s="785">
        <f>EE98-EH98</f>
        <v>51.973959988848947</v>
      </c>
      <c r="EM98" s="777">
        <f>ED98-EH98</f>
        <v>78632.763959988835</v>
      </c>
      <c r="EN98" s="25"/>
      <c r="EO98" s="792"/>
      <c r="EP98" s="436" t="s">
        <v>25</v>
      </c>
      <c r="EQ98" s="853">
        <f t="shared" si="437"/>
        <v>126901.35999999999</v>
      </c>
      <c r="ER98" s="853">
        <f t="shared" si="437"/>
        <v>37703.42</v>
      </c>
      <c r="ES98" s="853">
        <f t="shared" si="437"/>
        <v>0</v>
      </c>
      <c r="ET98" s="785">
        <f t="shared" si="437"/>
        <v>51.973959988852329</v>
      </c>
      <c r="EU98" s="152">
        <f>+ER98+ES98-ET98</f>
        <v>37651.446040011149</v>
      </c>
      <c r="EV98" s="818">
        <f t="shared" si="438"/>
        <v>0.99862150542341122</v>
      </c>
      <c r="EW98" s="818">
        <f t="shared" si="439"/>
        <v>1.37849457658887E-3</v>
      </c>
      <c r="EX98" s="781">
        <f>EQ98-ER98</f>
        <v>89197.939999999988</v>
      </c>
      <c r="EY98" s="785">
        <f>ER98-EU98</f>
        <v>51.973959988848947</v>
      </c>
      <c r="EZ98" s="777">
        <f>EQ98-EU98</f>
        <v>89249.913959988829</v>
      </c>
      <c r="FA98" s="25"/>
      <c r="FB98" s="25"/>
      <c r="FC98" s="785"/>
      <c r="FD98" s="25"/>
      <c r="FE98" s="211"/>
      <c r="FF98" s="211"/>
      <c r="FG98" s="25"/>
      <c r="FH98" s="25"/>
      <c r="FI98" s="25"/>
      <c r="FJ98" s="25"/>
    </row>
    <row r="99" spans="1:166" s="208" customFormat="1">
      <c r="A99" s="777"/>
      <c r="B99" s="770"/>
      <c r="C99" s="459" t="s">
        <v>26</v>
      </c>
      <c r="D99" s="447">
        <f t="shared" si="409"/>
        <v>22498.62</v>
      </c>
      <c r="E99" s="447">
        <f t="shared" si="409"/>
        <v>23861.190000000002</v>
      </c>
      <c r="F99" s="447">
        <f t="shared" si="409"/>
        <v>0</v>
      </c>
      <c r="G99" s="772">
        <f t="shared" si="409"/>
        <v>30.912200282820212</v>
      </c>
      <c r="H99" s="399">
        <f>+E99+F99-G99</f>
        <v>23830.277799717183</v>
      </c>
      <c r="I99" s="779">
        <f>IF(E99=0,"-",H99/E99)</f>
        <v>0.99870449879981593</v>
      </c>
      <c r="J99" s="779">
        <f>IF(ISERROR(G99/E99),"",G99/E99)</f>
        <v>1.2955012001840734E-3</v>
      </c>
      <c r="K99" s="770">
        <f>SUM($K$47:K47)</f>
        <v>-1362.5700000000033</v>
      </c>
      <c r="L99" s="772">
        <f>SUM($L$47:L47)</f>
        <v>30.912200282818958</v>
      </c>
      <c r="M99" s="780">
        <f>SUM($M$47:M47)</f>
        <v>-1331.6577997171844</v>
      </c>
      <c r="N99" s="785"/>
      <c r="O99" s="793"/>
      <c r="P99" s="436" t="s">
        <v>26</v>
      </c>
      <c r="Q99" s="853">
        <f t="shared" si="410"/>
        <v>45040.44</v>
      </c>
      <c r="R99" s="853">
        <f t="shared" si="410"/>
        <v>47852.289999999994</v>
      </c>
      <c r="S99" s="853">
        <f t="shared" si="410"/>
        <v>0</v>
      </c>
      <c r="T99" s="772">
        <f t="shared" si="410"/>
        <v>208.95999566769757</v>
      </c>
      <c r="U99" s="152">
        <f>+R99+S99-T99</f>
        <v>47643.330004332296</v>
      </c>
      <c r="V99" s="818">
        <f t="shared" si="411"/>
        <v>0.99563322892869499</v>
      </c>
      <c r="W99" s="818">
        <f t="shared" si="412"/>
        <v>4.3667710713050012E-3</v>
      </c>
      <c r="X99" s="781">
        <f t="shared" si="440"/>
        <v>-2811.8499999999913</v>
      </c>
      <c r="Y99" s="785">
        <f>R99-U99</f>
        <v>208.95999566769751</v>
      </c>
      <c r="Z99" s="777">
        <f>Q99-U99</f>
        <v>-2602.8900043322938</v>
      </c>
      <c r="AA99" s="25"/>
      <c r="AB99" s="783"/>
      <c r="AC99" s="436" t="s">
        <v>26</v>
      </c>
      <c r="AD99" s="853">
        <f t="shared" si="413"/>
        <v>66304.78</v>
      </c>
      <c r="AE99" s="853">
        <f t="shared" si="413"/>
        <v>71046.139999999985</v>
      </c>
      <c r="AF99" s="853">
        <f t="shared" si="413"/>
        <v>0</v>
      </c>
      <c r="AG99" s="772">
        <f t="shared" si="413"/>
        <v>327.84485794491087</v>
      </c>
      <c r="AH99" s="152">
        <f>+AE99+AF99-AG99</f>
        <v>70718.295142055067</v>
      </c>
      <c r="AI99" s="818">
        <f>IF(AE99=0,"-",AH99/AE99)</f>
        <v>0.9953854655869423</v>
      </c>
      <c r="AJ99" s="818">
        <f t="shared" si="414"/>
        <v>4.6145344130576402E-3</v>
      </c>
      <c r="AK99" s="781">
        <f>AD99-AE99</f>
        <v>-4741.359999999986</v>
      </c>
      <c r="AL99" s="785">
        <f>AE99-AH99</f>
        <v>327.84485794491775</v>
      </c>
      <c r="AM99" s="777">
        <f>AD99-AH99</f>
        <v>-4413.5151420550683</v>
      </c>
      <c r="AN99" s="25"/>
      <c r="AO99" s="226"/>
      <c r="AP99" s="436" t="s">
        <v>81</v>
      </c>
      <c r="AQ99" s="853">
        <f t="shared" si="415"/>
        <v>88404.98</v>
      </c>
      <c r="AR99" s="853">
        <f t="shared" si="415"/>
        <v>95977.609999999986</v>
      </c>
      <c r="AS99" s="853">
        <f t="shared" si="415"/>
        <v>0</v>
      </c>
      <c r="AT99" s="772">
        <f t="shared" si="415"/>
        <v>425.92754359691043</v>
      </c>
      <c r="AU99" s="152">
        <f>+AR99+AS99-AT99</f>
        <v>95551.682456403068</v>
      </c>
      <c r="AV99" s="818">
        <f>IF(AR99=0,"-",AU99/AR99)</f>
        <v>0.99556221973440562</v>
      </c>
      <c r="AW99" s="818">
        <f t="shared" si="416"/>
        <v>4.4377802655943457E-3</v>
      </c>
      <c r="AX99" s="781">
        <f>AQ99-AR99</f>
        <v>-7572.6299999999901</v>
      </c>
      <c r="AY99" s="785">
        <f>AR99-AU99</f>
        <v>425.92754359691753</v>
      </c>
      <c r="AZ99" s="777">
        <f>AQ99-AU99</f>
        <v>-7146.7024564030726</v>
      </c>
      <c r="BA99" s="25"/>
      <c r="BB99" s="786"/>
      <c r="BC99" s="436" t="s">
        <v>26</v>
      </c>
      <c r="BD99" s="853">
        <f t="shared" si="417"/>
        <v>109712.51999999999</v>
      </c>
      <c r="BE99" s="853">
        <f t="shared" si="417"/>
        <v>95977.609999999986</v>
      </c>
      <c r="BF99" s="853">
        <f t="shared" si="417"/>
        <v>0</v>
      </c>
      <c r="BG99" s="772">
        <f t="shared" si="417"/>
        <v>425.92754359691043</v>
      </c>
      <c r="BH99" s="152">
        <f>+BE99+BF99-BG99</f>
        <v>95551.682456403068</v>
      </c>
      <c r="BI99" s="818">
        <f t="shared" si="418"/>
        <v>0.99556221973440562</v>
      </c>
      <c r="BJ99" s="818">
        <f t="shared" si="419"/>
        <v>4.4377802655943457E-3</v>
      </c>
      <c r="BK99" s="781">
        <f>BD99-BE99</f>
        <v>13734.910000000003</v>
      </c>
      <c r="BL99" s="785">
        <f>BE99-BH99</f>
        <v>425.92754359691753</v>
      </c>
      <c r="BM99" s="777">
        <f>BD99-BH99</f>
        <v>14160.837543596921</v>
      </c>
      <c r="BN99" s="25"/>
      <c r="BO99" s="241"/>
      <c r="BP99" s="436" t="s">
        <v>26</v>
      </c>
      <c r="BQ99" s="853">
        <f t="shared" si="420"/>
        <v>131812.72</v>
      </c>
      <c r="BR99" s="853">
        <f t="shared" si="420"/>
        <v>95977.609999999986</v>
      </c>
      <c r="BS99" s="853">
        <f t="shared" si="420"/>
        <v>0</v>
      </c>
      <c r="BT99" s="772">
        <f t="shared" si="420"/>
        <v>425.92754359691043</v>
      </c>
      <c r="BU99" s="152">
        <f>+BR99+BS99-BT99</f>
        <v>95551.682456403068</v>
      </c>
      <c r="BV99" s="818">
        <f t="shared" si="421"/>
        <v>0.99556221973440562</v>
      </c>
      <c r="BW99" s="818">
        <f t="shared" si="422"/>
        <v>4.4377802655943457E-3</v>
      </c>
      <c r="BX99" s="781">
        <f>BQ99-BR99</f>
        <v>35835.110000000015</v>
      </c>
      <c r="BY99" s="785">
        <f>BR99-BU99</f>
        <v>425.92754359691753</v>
      </c>
      <c r="BZ99" s="777">
        <f>BQ99-BU99</f>
        <v>36261.037543596933</v>
      </c>
      <c r="CA99" s="25"/>
      <c r="CB99" s="242"/>
      <c r="CC99" s="436" t="s">
        <v>26</v>
      </c>
      <c r="CD99" s="853">
        <f t="shared" si="423"/>
        <v>153934.47</v>
      </c>
      <c r="CE99" s="853">
        <f t="shared" si="423"/>
        <v>95977.609999999986</v>
      </c>
      <c r="CF99" s="853">
        <f t="shared" si="423"/>
        <v>0</v>
      </c>
      <c r="CG99" s="785">
        <f t="shared" si="423"/>
        <v>425.92754359691043</v>
      </c>
      <c r="CH99" s="152">
        <f>+CE99+CF99-CG99</f>
        <v>95551.682456403068</v>
      </c>
      <c r="CI99" s="818">
        <f>IF(CE99=0,"-",CH99/CE99)</f>
        <v>0.99556221973440562</v>
      </c>
      <c r="CJ99" s="818">
        <f t="shared" si="424"/>
        <v>4.4377802655943457E-3</v>
      </c>
      <c r="CK99" s="781">
        <f>CD99-CE99</f>
        <v>57956.860000000015</v>
      </c>
      <c r="CL99" s="785">
        <f>CE99-CH99</f>
        <v>425.92754359691753</v>
      </c>
      <c r="CM99" s="777">
        <f>CD99-CH99</f>
        <v>58382.787543596933</v>
      </c>
      <c r="CN99" s="211"/>
      <c r="CO99" s="227"/>
      <c r="CP99" s="436" t="s">
        <v>26</v>
      </c>
      <c r="CQ99" s="853">
        <f t="shared" si="425"/>
        <v>176056.22</v>
      </c>
      <c r="CR99" s="853">
        <f t="shared" si="425"/>
        <v>95977.609999999986</v>
      </c>
      <c r="CS99" s="853">
        <f t="shared" si="425"/>
        <v>0</v>
      </c>
      <c r="CT99" s="785">
        <f t="shared" si="425"/>
        <v>425.92754359691043</v>
      </c>
      <c r="CU99" s="152">
        <f>+CR99+CS99-CT99</f>
        <v>95551.682456403068</v>
      </c>
      <c r="CV99" s="818">
        <f t="shared" si="426"/>
        <v>0.99556221973440562</v>
      </c>
      <c r="CW99" s="818">
        <f t="shared" si="427"/>
        <v>4.4377802655943457E-3</v>
      </c>
      <c r="CX99" s="781">
        <f>CQ99-CR99</f>
        <v>80078.610000000015</v>
      </c>
      <c r="CY99" s="785">
        <f>CR99-CU99</f>
        <v>425.92754359691753</v>
      </c>
      <c r="CZ99" s="777">
        <f>CQ99-CU99</f>
        <v>80504.537543596933</v>
      </c>
      <c r="DA99" s="211"/>
      <c r="DB99" s="382"/>
      <c r="DC99" s="436" t="s">
        <v>26</v>
      </c>
      <c r="DD99" s="853">
        <f t="shared" si="428"/>
        <v>196904.77</v>
      </c>
      <c r="DE99" s="853">
        <f t="shared" si="428"/>
        <v>95977.609999999986</v>
      </c>
      <c r="DF99" s="853">
        <f t="shared" si="428"/>
        <v>0</v>
      </c>
      <c r="DG99" s="785">
        <f t="shared" si="428"/>
        <v>425.92754359691043</v>
      </c>
      <c r="DH99" s="152">
        <f>+DE99+DF99-DG99</f>
        <v>95551.682456403068</v>
      </c>
      <c r="DI99" s="818">
        <f t="shared" si="429"/>
        <v>0.99556221973440562</v>
      </c>
      <c r="DJ99" s="818">
        <f t="shared" si="430"/>
        <v>4.4377802655943457E-3</v>
      </c>
      <c r="DK99" s="781">
        <f>DD99-DE99</f>
        <v>100927.16</v>
      </c>
      <c r="DL99" s="785">
        <f>DE99-DH99</f>
        <v>425.92754359691753</v>
      </c>
      <c r="DM99" s="777">
        <f>DD99-DH99</f>
        <v>101353.08754359692</v>
      </c>
      <c r="DN99" s="25"/>
      <c r="DO99" s="228"/>
      <c r="DP99" s="436" t="s">
        <v>26</v>
      </c>
      <c r="DQ99" s="853">
        <f t="shared" si="431"/>
        <v>219403.38999999998</v>
      </c>
      <c r="DR99" s="853">
        <f t="shared" si="431"/>
        <v>95977.609999999986</v>
      </c>
      <c r="DS99" s="853">
        <f t="shared" si="431"/>
        <v>0</v>
      </c>
      <c r="DT99" s="785">
        <f t="shared" si="431"/>
        <v>425.92754359691043</v>
      </c>
      <c r="DU99" s="152">
        <f>+DR99+DS99-DT99</f>
        <v>95551.682456403068</v>
      </c>
      <c r="DV99" s="818">
        <f t="shared" si="432"/>
        <v>0.99556221973440562</v>
      </c>
      <c r="DW99" s="818">
        <f t="shared" si="433"/>
        <v>4.4377802655943457E-3</v>
      </c>
      <c r="DX99" s="781">
        <f>DQ99-DR99</f>
        <v>123425.78</v>
      </c>
      <c r="DY99" s="785">
        <f>DR99-DU99</f>
        <v>425.92754359691753</v>
      </c>
      <c r="DZ99" s="777">
        <f>DQ99-DU99</f>
        <v>123851.70754359692</v>
      </c>
      <c r="EA99" s="785"/>
      <c r="EB99" s="243"/>
      <c r="EC99" s="436" t="s">
        <v>26</v>
      </c>
      <c r="ED99" s="853">
        <f t="shared" si="434"/>
        <v>241148.36</v>
      </c>
      <c r="EE99" s="853">
        <f t="shared" si="434"/>
        <v>95977.609999999986</v>
      </c>
      <c r="EF99" s="853">
        <f t="shared" si="434"/>
        <v>0</v>
      </c>
      <c r="EG99" s="785">
        <f t="shared" si="434"/>
        <v>425.92754359691043</v>
      </c>
      <c r="EH99" s="152">
        <f>+EE99+EF99-EG99</f>
        <v>95551.682456403068</v>
      </c>
      <c r="EI99" s="818">
        <f t="shared" si="435"/>
        <v>0.99556221973440562</v>
      </c>
      <c r="EJ99" s="818">
        <f t="shared" si="436"/>
        <v>4.4377802655943457E-3</v>
      </c>
      <c r="EK99" s="781">
        <f>ED99-EE99</f>
        <v>145170.75</v>
      </c>
      <c r="EL99" s="785">
        <f>EE99-EH99</f>
        <v>425.92754359691753</v>
      </c>
      <c r="EM99" s="777">
        <f>ED99-EH99</f>
        <v>145596.67754359692</v>
      </c>
      <c r="EN99" s="25"/>
      <c r="EO99" s="792"/>
      <c r="EP99" s="436" t="s">
        <v>26</v>
      </c>
      <c r="EQ99" s="853">
        <f t="shared" si="437"/>
        <v>263209.55</v>
      </c>
      <c r="ER99" s="853">
        <f t="shared" si="437"/>
        <v>95977.609999999986</v>
      </c>
      <c r="ES99" s="853">
        <f t="shared" si="437"/>
        <v>0</v>
      </c>
      <c r="ET99" s="785">
        <f t="shared" si="437"/>
        <v>425.92754359691043</v>
      </c>
      <c r="EU99" s="152">
        <f>+ER99+ES99-ET99</f>
        <v>95551.682456403068</v>
      </c>
      <c r="EV99" s="818">
        <f t="shared" si="438"/>
        <v>0.99556221973440562</v>
      </c>
      <c r="EW99" s="818">
        <f t="shared" si="439"/>
        <v>4.4377802655943457E-3</v>
      </c>
      <c r="EX99" s="781">
        <f>EQ99-ER99</f>
        <v>167231.94</v>
      </c>
      <c r="EY99" s="785">
        <f>ER99-EU99</f>
        <v>425.92754359691753</v>
      </c>
      <c r="EZ99" s="777">
        <f>EQ99-EU99</f>
        <v>167657.86754359692</v>
      </c>
      <c r="FA99" s="25"/>
      <c r="FB99" s="25"/>
      <c r="FC99" s="785"/>
      <c r="FD99" s="25"/>
      <c r="FE99" s="211"/>
      <c r="FF99" s="211"/>
      <c r="FG99" s="25"/>
      <c r="FH99" s="25"/>
      <c r="FI99" s="25"/>
      <c r="FJ99" s="25"/>
    </row>
    <row r="100" spans="1:166" s="208" customFormat="1">
      <c r="A100" s="777"/>
      <c r="B100" s="770"/>
      <c r="C100" s="459"/>
      <c r="D100" s="447"/>
      <c r="E100" s="447"/>
      <c r="F100" s="447"/>
      <c r="G100" s="772"/>
      <c r="H100" s="399"/>
      <c r="I100" s="779"/>
      <c r="J100" s="779"/>
      <c r="K100" s="770"/>
      <c r="L100" s="772"/>
      <c r="M100" s="780"/>
      <c r="N100" s="785"/>
      <c r="O100" s="793"/>
      <c r="P100" s="436"/>
      <c r="Q100" s="853"/>
      <c r="R100" s="853"/>
      <c r="S100" s="853"/>
      <c r="T100" s="772"/>
      <c r="U100" s="152"/>
      <c r="V100" s="818"/>
      <c r="W100" s="818"/>
      <c r="X100" s="781"/>
      <c r="Y100" s="785"/>
      <c r="Z100" s="777"/>
      <c r="AA100" s="25"/>
      <c r="AB100" s="783"/>
      <c r="AC100" s="436"/>
      <c r="AD100" s="853"/>
      <c r="AE100" s="853"/>
      <c r="AF100" s="853"/>
      <c r="AG100" s="772"/>
      <c r="AH100" s="152"/>
      <c r="AI100" s="818"/>
      <c r="AJ100" s="818"/>
      <c r="AK100" s="781"/>
      <c r="AL100" s="785"/>
      <c r="AM100" s="777"/>
      <c r="AN100" s="25"/>
      <c r="AO100" s="226"/>
      <c r="AP100" s="436"/>
      <c r="AQ100" s="853"/>
      <c r="AR100" s="853"/>
      <c r="AS100" s="853"/>
      <c r="AT100" s="772"/>
      <c r="AU100" s="152"/>
      <c r="AV100" s="818"/>
      <c r="AW100" s="818"/>
      <c r="AX100" s="781"/>
      <c r="AY100" s="785"/>
      <c r="AZ100" s="777"/>
      <c r="BA100" s="25"/>
      <c r="BB100" s="786"/>
      <c r="BC100" s="436"/>
      <c r="BD100" s="853"/>
      <c r="BE100" s="853"/>
      <c r="BF100" s="853"/>
      <c r="BG100" s="772"/>
      <c r="BH100" s="152"/>
      <c r="BI100" s="818"/>
      <c r="BJ100" s="818"/>
      <c r="BK100" s="781"/>
      <c r="BL100" s="785"/>
      <c r="BM100" s="777"/>
      <c r="BN100" s="25"/>
      <c r="BO100" s="241"/>
      <c r="BP100" s="436"/>
      <c r="BQ100" s="853"/>
      <c r="BR100" s="853"/>
      <c r="BS100" s="853"/>
      <c r="BT100" s="772"/>
      <c r="BU100" s="152"/>
      <c r="BV100" s="818"/>
      <c r="BW100" s="818"/>
      <c r="BX100" s="781"/>
      <c r="BY100" s="785"/>
      <c r="BZ100" s="777"/>
      <c r="CA100" s="25"/>
      <c r="CB100" s="242"/>
      <c r="CC100" s="436"/>
      <c r="CD100" s="853"/>
      <c r="CE100" s="853"/>
      <c r="CF100" s="853"/>
      <c r="CG100" s="772"/>
      <c r="CH100" s="152"/>
      <c r="CI100" s="818"/>
      <c r="CJ100" s="818"/>
      <c r="CK100" s="781"/>
      <c r="CL100" s="785"/>
      <c r="CM100" s="777"/>
      <c r="CN100" s="776"/>
      <c r="CO100" s="227"/>
      <c r="CP100" s="436"/>
      <c r="CQ100" s="853"/>
      <c r="CR100" s="853"/>
      <c r="CS100" s="853"/>
      <c r="CT100" s="772"/>
      <c r="CU100" s="152"/>
      <c r="CV100" s="818"/>
      <c r="CW100" s="818"/>
      <c r="CX100" s="781"/>
      <c r="CY100" s="785"/>
      <c r="CZ100" s="777"/>
      <c r="DA100" s="211"/>
      <c r="DB100" s="382"/>
      <c r="DC100" s="436"/>
      <c r="DD100" s="853"/>
      <c r="DE100" s="853"/>
      <c r="DF100" s="853"/>
      <c r="DG100" s="772"/>
      <c r="DH100" s="152"/>
      <c r="DI100" s="818"/>
      <c r="DJ100" s="818"/>
      <c r="DK100" s="781"/>
      <c r="DL100" s="785"/>
      <c r="DM100" s="777"/>
      <c r="DN100" s="25"/>
      <c r="DO100" s="228"/>
      <c r="DP100" s="436"/>
      <c r="DQ100" s="853"/>
      <c r="DR100" s="853"/>
      <c r="DS100" s="853"/>
      <c r="DT100" s="772"/>
      <c r="DU100" s="152"/>
      <c r="DV100" s="818"/>
      <c r="DW100" s="818"/>
      <c r="DX100" s="781"/>
      <c r="DY100" s="785"/>
      <c r="DZ100" s="777"/>
      <c r="EA100" s="785"/>
      <c r="EB100" s="243"/>
      <c r="EC100" s="436"/>
      <c r="ED100" s="853"/>
      <c r="EE100" s="853"/>
      <c r="EF100" s="853"/>
      <c r="EG100" s="772"/>
      <c r="EH100" s="152"/>
      <c r="EI100" s="818"/>
      <c r="EJ100" s="818"/>
      <c r="EK100" s="781"/>
      <c r="EL100" s="785"/>
      <c r="EM100" s="777"/>
      <c r="EN100" s="25"/>
      <c r="EO100" s="792"/>
      <c r="EP100" s="436"/>
      <c r="EQ100" s="853"/>
      <c r="ER100" s="853"/>
      <c r="ES100" s="853"/>
      <c r="ET100" s="772"/>
      <c r="EU100" s="152"/>
      <c r="EV100" s="818"/>
      <c r="EW100" s="818"/>
      <c r="EX100" s="781"/>
      <c r="EY100" s="785"/>
      <c r="EZ100" s="777"/>
      <c r="FA100" s="776"/>
      <c r="FB100" s="776"/>
      <c r="FC100" s="776"/>
      <c r="FD100" s="776"/>
      <c r="FE100" s="776"/>
      <c r="FF100" s="776"/>
      <c r="FG100" s="776"/>
      <c r="FH100" s="776"/>
      <c r="FI100" s="776"/>
      <c r="FJ100" s="776"/>
    </row>
    <row r="101" spans="1:166" ht="13.15" customHeight="1">
      <c r="A101" s="777"/>
      <c r="B101" s="770"/>
      <c r="C101" s="245" t="s">
        <v>74</v>
      </c>
      <c r="D101" s="460">
        <f>SUM(D96:D99)</f>
        <v>70346.12</v>
      </c>
      <c r="E101" s="460">
        <f>SUM(E96:E99)</f>
        <v>64770.650000000009</v>
      </c>
      <c r="F101" s="460">
        <f>SUM(F96:F99)</f>
        <v>0</v>
      </c>
      <c r="G101" s="460">
        <f>SUM(G96:G99)</f>
        <v>68.421570974131356</v>
      </c>
      <c r="H101" s="460">
        <f>SUM(H96:H99)</f>
        <v>64702.228429025883</v>
      </c>
      <c r="I101" s="461">
        <f>IF(E101=0,"-",H101/E101)</f>
        <v>0.99894363309656264</v>
      </c>
      <c r="J101" s="461">
        <f>IF(ISERROR(G101/E101),"",G101/E101)</f>
        <v>1.0563669034374574E-3</v>
      </c>
      <c r="K101" s="462">
        <f>SUM(K96:K99)</f>
        <v>5575.4699999999921</v>
      </c>
      <c r="L101" s="463">
        <f>SUM(L96:L99)</f>
        <v>68.421570974129281</v>
      </c>
      <c r="M101" s="464">
        <f>SUM(M96:M99)</f>
        <v>5643.8915709741214</v>
      </c>
      <c r="N101" s="785"/>
      <c r="O101" s="793"/>
      <c r="P101" s="245" t="s">
        <v>74</v>
      </c>
      <c r="Q101" s="153">
        <f>SUM(Q96:Q99)</f>
        <v>140790.29</v>
      </c>
      <c r="R101" s="153">
        <f>SUM(R96:R99)</f>
        <v>129390.86</v>
      </c>
      <c r="S101" s="153">
        <f>SUM(S96:S99)</f>
        <v>0</v>
      </c>
      <c r="T101" s="153">
        <f>SUM(T96:T99)</f>
        <v>357.91271132381831</v>
      </c>
      <c r="U101" s="153">
        <f>SUM(U96:U99)</f>
        <v>129032.94728867618</v>
      </c>
      <c r="V101" s="364">
        <f>IF(R101=0,"-",U101/R101)</f>
        <v>0.99723386403549819</v>
      </c>
      <c r="W101" s="364">
        <f>IF(ISERROR(T101/R101),"-",T101/R101)</f>
        <v>2.7661359645018073E-3</v>
      </c>
      <c r="X101" s="781">
        <f t="shared" si="440"/>
        <v>11399.430000000008</v>
      </c>
      <c r="Y101" s="151">
        <f>R101-U101</f>
        <v>357.91271132382099</v>
      </c>
      <c r="Z101" s="244">
        <f>Q101-U101</f>
        <v>11757.342711323829</v>
      </c>
      <c r="AA101" s="25"/>
      <c r="AB101" s="783"/>
      <c r="AC101" s="245" t="s">
        <v>74</v>
      </c>
      <c r="AD101" s="153">
        <f>SUM(AD96:AD99)</f>
        <v>207835.97</v>
      </c>
      <c r="AE101" s="153">
        <f>SUM(AE96:AE99)</f>
        <v>189375.91999999998</v>
      </c>
      <c r="AF101" s="153">
        <f>SUM(AF96:AF99)</f>
        <v>2.35</v>
      </c>
      <c r="AG101" s="153">
        <f>SUM(AG96:AG99)</f>
        <v>520.45811502761046</v>
      </c>
      <c r="AH101" s="153">
        <f>SUM(AH96:AH99)</f>
        <v>188857.81188497238</v>
      </c>
      <c r="AI101" s="364">
        <f>IF(AE101=0,"-",AH101/AE101)</f>
        <v>0.99726412885530746</v>
      </c>
      <c r="AJ101" s="364">
        <f>IF(ISERROR(AG101/AE101),"-",AG101/AE101)</f>
        <v>2.7482803253318084E-3</v>
      </c>
      <c r="AK101" s="371">
        <f>AD101-AE101</f>
        <v>18460.050000000017</v>
      </c>
      <c r="AL101" s="151">
        <f>AE101-AH101</f>
        <v>518.10811502760043</v>
      </c>
      <c r="AM101" s="244">
        <f>AD101-AH101</f>
        <v>18978.158115027618</v>
      </c>
      <c r="AN101" s="25"/>
      <c r="AO101" s="249"/>
      <c r="AP101" s="245" t="s">
        <v>74</v>
      </c>
      <c r="AQ101" s="153">
        <f>SUM(AQ96:AQ99)</f>
        <v>277373.09999999998</v>
      </c>
      <c r="AR101" s="153">
        <f t="shared" ref="AR101:AU101" si="441">SUM(AR96:AR99)</f>
        <v>253559.78999999998</v>
      </c>
      <c r="AS101" s="153">
        <f t="shared" si="441"/>
        <v>2.35</v>
      </c>
      <c r="AT101" s="153">
        <f t="shared" si="441"/>
        <v>730.16447268579009</v>
      </c>
      <c r="AU101" s="153">
        <f t="shared" si="441"/>
        <v>252831.97552731421</v>
      </c>
      <c r="AV101" s="364">
        <f>IF(AR101=0,"-",AU101/AR101)</f>
        <v>0.99712961399484601</v>
      </c>
      <c r="AW101" s="364">
        <f>IF(ISERROR(AT101/AR101),"-",AT101/AR101)</f>
        <v>2.879654036177385E-3</v>
      </c>
      <c r="AX101" s="371">
        <f>AQ101-AR101</f>
        <v>23813.309999999998</v>
      </c>
      <c r="AY101" s="151">
        <f>AR101-AU101</f>
        <v>727.81447268577176</v>
      </c>
      <c r="AZ101" s="244">
        <f>AQ101-AU101</f>
        <v>24541.124472685769</v>
      </c>
      <c r="BA101" s="25"/>
      <c r="BB101" s="786"/>
      <c r="BC101" s="245" t="s">
        <v>74</v>
      </c>
      <c r="BD101" s="153">
        <f>SUM(BD96:BD99)</f>
        <v>344516.81999999995</v>
      </c>
      <c r="BE101" s="153">
        <f t="shared" ref="BE101:BH101" si="442">SUM(BE96:BE99)</f>
        <v>253559.78999999998</v>
      </c>
      <c r="BF101" s="153">
        <f t="shared" si="442"/>
        <v>2.35</v>
      </c>
      <c r="BG101" s="153">
        <f t="shared" si="442"/>
        <v>730.16447268579009</v>
      </c>
      <c r="BH101" s="153">
        <f t="shared" si="442"/>
        <v>252831.97552731421</v>
      </c>
      <c r="BI101" s="364">
        <f>IF(BE101=0,"-",BH101/BE101)</f>
        <v>0.99712961399484601</v>
      </c>
      <c r="BJ101" s="364">
        <f>IF(ISERROR(BG101/BE101),"-",BG101/BE101)</f>
        <v>2.879654036177385E-3</v>
      </c>
      <c r="BK101" s="371">
        <f>BD101-BE101</f>
        <v>90957.02999999997</v>
      </c>
      <c r="BL101" s="151">
        <f>BE101-BH101</f>
        <v>727.81447268577176</v>
      </c>
      <c r="BM101" s="244">
        <f>BD101-BH101</f>
        <v>91684.844472685741</v>
      </c>
      <c r="BN101" s="25"/>
      <c r="BO101" s="241"/>
      <c r="BP101" s="245" t="s">
        <v>74</v>
      </c>
      <c r="BQ101" s="153">
        <f>SUM(BQ96:BQ99)</f>
        <v>414053.94999999995</v>
      </c>
      <c r="BR101" s="153">
        <f t="shared" ref="BR101:BU101" si="443">SUM(BR96:BR99)</f>
        <v>253559.78999999998</v>
      </c>
      <c r="BS101" s="153">
        <f t="shared" si="443"/>
        <v>2.35</v>
      </c>
      <c r="BT101" s="153">
        <f t="shared" si="443"/>
        <v>730.16447268579009</v>
      </c>
      <c r="BU101" s="153">
        <f t="shared" si="443"/>
        <v>252831.97552731421</v>
      </c>
      <c r="BV101" s="364">
        <f>IF(BR101=0,"-",BU101/BR101)</f>
        <v>0.99712961399484601</v>
      </c>
      <c r="BW101" s="364">
        <f>IF(ISERROR(BT101/BR101),"-",BT101/BR101)</f>
        <v>2.879654036177385E-3</v>
      </c>
      <c r="BX101" s="371">
        <f>BQ101-BR101</f>
        <v>160494.15999999997</v>
      </c>
      <c r="BY101" s="151">
        <f>BR101-BU101</f>
        <v>727.81447268577176</v>
      </c>
      <c r="BZ101" s="244">
        <f>BQ101-BU101</f>
        <v>161221.97447268575</v>
      </c>
      <c r="CA101" s="25"/>
      <c r="CB101" s="242"/>
      <c r="CC101" s="245" t="s">
        <v>74</v>
      </c>
      <c r="CD101" s="153">
        <f>SUM(CD96:CD99)</f>
        <v>483640.1</v>
      </c>
      <c r="CE101" s="153">
        <f t="shared" ref="CE101:CH101" si="444">SUM(CE96:CE99)</f>
        <v>253559.78999999998</v>
      </c>
      <c r="CF101" s="153">
        <f t="shared" si="444"/>
        <v>2.35</v>
      </c>
      <c r="CG101" s="153">
        <f t="shared" si="444"/>
        <v>730.16447268579009</v>
      </c>
      <c r="CH101" s="153">
        <f t="shared" si="444"/>
        <v>252831.97552731421</v>
      </c>
      <c r="CI101" s="364">
        <f>IF(CE101=0,"-",CH101/CE101)</f>
        <v>0.99712961399484601</v>
      </c>
      <c r="CJ101" s="364">
        <f>IF(ISERROR(CG101/CE101),"-",CG101/CE101)</f>
        <v>2.879654036177385E-3</v>
      </c>
      <c r="CK101" s="371">
        <f>CD101-CE101</f>
        <v>230080.31</v>
      </c>
      <c r="CL101" s="151">
        <f>CE101-CH101</f>
        <v>727.81447268577176</v>
      </c>
      <c r="CM101" s="244">
        <f>CD101-CH101</f>
        <v>230808.12447268577</v>
      </c>
      <c r="CO101" s="227"/>
      <c r="CP101" s="245" t="s">
        <v>74</v>
      </c>
      <c r="CQ101" s="153">
        <f>SUM(CQ96:CQ99)</f>
        <v>553226.25</v>
      </c>
      <c r="CR101" s="153">
        <f t="shared" ref="CR101:CU101" si="445">SUM(CR96:CR99)</f>
        <v>253559.78999999998</v>
      </c>
      <c r="CS101" s="153">
        <f t="shared" si="445"/>
        <v>2.35</v>
      </c>
      <c r="CT101" s="153">
        <f t="shared" si="445"/>
        <v>730.16447268579009</v>
      </c>
      <c r="CU101" s="153">
        <f t="shared" si="445"/>
        <v>252831.97552731421</v>
      </c>
      <c r="CV101" s="364">
        <f>IF(CR101=0,"-",CU101/CR101)</f>
        <v>0.99712961399484601</v>
      </c>
      <c r="CW101" s="364">
        <f>IF(ISERROR(CT101/CR101),"-",CT101/CR101)</f>
        <v>2.879654036177385E-3</v>
      </c>
      <c r="CX101" s="371">
        <f>CQ101-CR101</f>
        <v>299666.46000000002</v>
      </c>
      <c r="CY101" s="151">
        <f>CR101-CU101</f>
        <v>727.81447268577176</v>
      </c>
      <c r="CZ101" s="244">
        <f>CQ101-CU101</f>
        <v>300394.27447268576</v>
      </c>
      <c r="DA101" s="211"/>
      <c r="DB101" s="382"/>
      <c r="DC101" s="245" t="s">
        <v>74</v>
      </c>
      <c r="DD101" s="153">
        <f>SUM(DD96:DD99)</f>
        <v>618638.5</v>
      </c>
      <c r="DE101" s="153">
        <f t="shared" ref="DE101:DH101" si="446">SUM(DE96:DE99)</f>
        <v>253559.78999999998</v>
      </c>
      <c r="DF101" s="153">
        <f t="shared" si="446"/>
        <v>2.35</v>
      </c>
      <c r="DG101" s="153">
        <f t="shared" si="446"/>
        <v>730.16447268579009</v>
      </c>
      <c r="DH101" s="153">
        <f t="shared" si="446"/>
        <v>252831.97552731421</v>
      </c>
      <c r="DI101" s="364">
        <f>IF(DE101=0,"-",DH101/DE101)</f>
        <v>0.99712961399484601</v>
      </c>
      <c r="DJ101" s="364">
        <f>IF(ISERROR(DG101/DE101),"-",DG101/DE101)</f>
        <v>2.879654036177385E-3</v>
      </c>
      <c r="DK101" s="371">
        <f>DD101-DE101</f>
        <v>365078.71</v>
      </c>
      <c r="DL101" s="151">
        <f>DE101-DH101</f>
        <v>727.81447268577176</v>
      </c>
      <c r="DM101" s="244">
        <f>DD101-DH101</f>
        <v>365806.52447268576</v>
      </c>
      <c r="DN101" s="25"/>
      <c r="DO101" s="228"/>
      <c r="DP101" s="245" t="s">
        <v>74</v>
      </c>
      <c r="DQ101" s="153">
        <f>SUM(DQ96:DQ99)</f>
        <v>688984.62</v>
      </c>
      <c r="DR101" s="153">
        <f t="shared" ref="DR101:DU101" si="447">SUM(DR96:DR99)</f>
        <v>253559.78999999998</v>
      </c>
      <c r="DS101" s="153">
        <f t="shared" si="447"/>
        <v>2.35</v>
      </c>
      <c r="DT101" s="153">
        <f t="shared" si="447"/>
        <v>730.16447268579009</v>
      </c>
      <c r="DU101" s="153">
        <f t="shared" si="447"/>
        <v>252831.97552731421</v>
      </c>
      <c r="DV101" s="364">
        <f>IF(DR101=0,"-",DU101/DR101)</f>
        <v>0.99712961399484601</v>
      </c>
      <c r="DW101" s="364">
        <f>IF(ISERROR(DT101/DR101),"-",DT101/DR101)</f>
        <v>2.879654036177385E-3</v>
      </c>
      <c r="DX101" s="371">
        <f>DQ101-DR101</f>
        <v>435424.83</v>
      </c>
      <c r="DY101" s="151">
        <f>DR101-DU101</f>
        <v>727.81447268577176</v>
      </c>
      <c r="DZ101" s="244">
        <f>DQ101-DU101</f>
        <v>436152.64447268576</v>
      </c>
      <c r="EA101" s="785"/>
      <c r="EB101" s="243"/>
      <c r="EC101" s="245" t="s">
        <v>74</v>
      </c>
      <c r="ED101" s="153">
        <f>SUM(ED96:ED99)</f>
        <v>757810.79999999993</v>
      </c>
      <c r="EE101" s="153">
        <f t="shared" ref="EE101:EH101" si="448">SUM(EE96:EE99)</f>
        <v>253559.78999999998</v>
      </c>
      <c r="EF101" s="153">
        <f t="shared" si="448"/>
        <v>2.35</v>
      </c>
      <c r="EG101" s="153">
        <f t="shared" si="448"/>
        <v>730.16447268579009</v>
      </c>
      <c r="EH101" s="153">
        <f t="shared" si="448"/>
        <v>252831.97552731421</v>
      </c>
      <c r="EI101" s="364">
        <f>IF(EE101=0,"-",EH101/EE101)</f>
        <v>0.99712961399484601</v>
      </c>
      <c r="EJ101" s="364">
        <f>IF(ISERROR(EG101/EE101),"-",EG101/EE101)</f>
        <v>2.879654036177385E-3</v>
      </c>
      <c r="EK101" s="371">
        <f>ED101-EE101</f>
        <v>504251.00999999995</v>
      </c>
      <c r="EL101" s="151">
        <f>EE101-EH101</f>
        <v>727.81447268577176</v>
      </c>
      <c r="EM101" s="244">
        <f>ED101-EH101</f>
        <v>504978.82447268569</v>
      </c>
      <c r="EN101" s="25"/>
      <c r="EO101" s="792"/>
      <c r="EP101" s="245" t="s">
        <v>74</v>
      </c>
      <c r="EQ101" s="153">
        <f>SUM(EQ96:EQ99)</f>
        <v>826474.47</v>
      </c>
      <c r="ER101" s="153">
        <f t="shared" ref="ER101:EU101" si="449">SUM(ER96:ER99)</f>
        <v>253559.78999999998</v>
      </c>
      <c r="ES101" s="153">
        <f t="shared" si="449"/>
        <v>2.35</v>
      </c>
      <c r="ET101" s="153">
        <f t="shared" si="449"/>
        <v>730.16447268579009</v>
      </c>
      <c r="EU101" s="153">
        <f t="shared" si="449"/>
        <v>252831.97552731421</v>
      </c>
      <c r="EV101" s="364">
        <f>IF(ER101=0,"-",EU101/ER101)</f>
        <v>0.99712961399484601</v>
      </c>
      <c r="EW101" s="364">
        <f>IF(ISERROR(ET101/ER101),"-",ET101/ER101)</f>
        <v>2.879654036177385E-3</v>
      </c>
      <c r="EX101" s="371">
        <f>EQ101-ER101</f>
        <v>572914.67999999993</v>
      </c>
      <c r="EY101" s="151">
        <f>ER101-EU101</f>
        <v>727.81447268577176</v>
      </c>
      <c r="EZ101" s="244">
        <f>EQ101-EU101</f>
        <v>573642.49447268574</v>
      </c>
    </row>
    <row r="102" spans="1:166" ht="13.15" customHeight="1" thickBot="1">
      <c r="A102" s="777"/>
      <c r="B102" s="770"/>
      <c r="C102" s="459"/>
      <c r="D102" s="833"/>
      <c r="E102" s="833"/>
      <c r="F102" s="833"/>
      <c r="G102" s="772"/>
      <c r="H102" s="404"/>
      <c r="I102" s="867"/>
      <c r="J102" s="867"/>
      <c r="K102" s="465"/>
      <c r="L102" s="466"/>
      <c r="M102" s="868"/>
      <c r="N102" s="785"/>
      <c r="O102" s="793"/>
      <c r="P102" s="459"/>
      <c r="Q102" s="869"/>
      <c r="R102" s="869"/>
      <c r="S102" s="869"/>
      <c r="T102" s="870"/>
      <c r="U102" s="347"/>
      <c r="V102" s="834"/>
      <c r="W102" s="834"/>
      <c r="X102" s="348"/>
      <c r="Y102" s="349"/>
      <c r="Z102" s="871"/>
      <c r="AA102" s="25"/>
      <c r="AB102" s="783"/>
      <c r="AC102" s="459"/>
      <c r="AD102" s="869"/>
      <c r="AE102" s="869"/>
      <c r="AF102" s="869"/>
      <c r="AG102" s="869"/>
      <c r="AH102" s="347"/>
      <c r="AI102" s="834"/>
      <c r="AJ102" s="834"/>
      <c r="AK102" s="348"/>
      <c r="AL102" s="349"/>
      <c r="AM102" s="871"/>
      <c r="AN102" s="25"/>
      <c r="AO102" s="226"/>
      <c r="AP102" s="459"/>
      <c r="AQ102" s="869"/>
      <c r="AR102" s="869"/>
      <c r="AS102" s="869"/>
      <c r="AT102" s="869"/>
      <c r="AU102" s="347"/>
      <c r="AV102" s="834"/>
      <c r="AW102" s="834"/>
      <c r="AX102" s="348"/>
      <c r="AY102" s="349"/>
      <c r="AZ102" s="871"/>
      <c r="BA102" s="25"/>
      <c r="BB102" s="786"/>
      <c r="BC102" s="459"/>
      <c r="BD102" s="869"/>
      <c r="BE102" s="869"/>
      <c r="BF102" s="869"/>
      <c r="BG102" s="869"/>
      <c r="BH102" s="347"/>
      <c r="BI102" s="834"/>
      <c r="BJ102" s="834"/>
      <c r="BK102" s="348"/>
      <c r="BL102" s="349"/>
      <c r="BM102" s="871"/>
      <c r="BN102" s="25"/>
      <c r="BO102" s="241"/>
      <c r="BP102" s="459"/>
      <c r="BQ102" s="869"/>
      <c r="BR102" s="869"/>
      <c r="BS102" s="869"/>
      <c r="BT102" s="860"/>
      <c r="BU102" s="347"/>
      <c r="BV102" s="834"/>
      <c r="BW102" s="834"/>
      <c r="BX102" s="348"/>
      <c r="BY102" s="349"/>
      <c r="BZ102" s="871"/>
      <c r="CA102" s="25"/>
      <c r="CB102" s="242"/>
      <c r="CC102" s="459"/>
      <c r="CD102" s="869"/>
      <c r="CE102" s="869"/>
      <c r="CF102" s="869"/>
      <c r="CG102" s="860"/>
      <c r="CH102" s="347"/>
      <c r="CI102" s="834"/>
      <c r="CJ102" s="834"/>
      <c r="CK102" s="348"/>
      <c r="CL102" s="349"/>
      <c r="CM102" s="871"/>
      <c r="CO102" s="227"/>
      <c r="CP102" s="459"/>
      <c r="CQ102" s="869"/>
      <c r="CR102" s="869"/>
      <c r="CS102" s="869"/>
      <c r="CT102" s="860"/>
      <c r="CU102" s="347"/>
      <c r="CV102" s="834"/>
      <c r="CW102" s="834"/>
      <c r="CX102" s="348"/>
      <c r="CY102" s="349"/>
      <c r="CZ102" s="871"/>
      <c r="DA102" s="211"/>
      <c r="DB102" s="382"/>
      <c r="DC102" s="459"/>
      <c r="DD102" s="869"/>
      <c r="DE102" s="869"/>
      <c r="DF102" s="869"/>
      <c r="DG102" s="860"/>
      <c r="DH102" s="347"/>
      <c r="DI102" s="834"/>
      <c r="DJ102" s="834"/>
      <c r="DK102" s="348"/>
      <c r="DL102" s="349"/>
      <c r="DM102" s="871"/>
      <c r="DN102" s="25"/>
      <c r="DO102" s="228"/>
      <c r="DP102" s="459"/>
      <c r="DQ102" s="869"/>
      <c r="DR102" s="869"/>
      <c r="DS102" s="869"/>
      <c r="DT102" s="860"/>
      <c r="DU102" s="347"/>
      <c r="DV102" s="834"/>
      <c r="DW102" s="834"/>
      <c r="DX102" s="348"/>
      <c r="DY102" s="349"/>
      <c r="DZ102" s="871"/>
      <c r="EA102" s="785"/>
      <c r="EB102" s="243"/>
      <c r="EC102" s="459"/>
      <c r="ED102" s="869"/>
      <c r="EE102" s="869"/>
      <c r="EF102" s="869"/>
      <c r="EG102" s="860"/>
      <c r="EH102" s="347"/>
      <c r="EI102" s="834"/>
      <c r="EJ102" s="834"/>
      <c r="EK102" s="348"/>
      <c r="EL102" s="349"/>
      <c r="EM102" s="871"/>
      <c r="EN102" s="25"/>
      <c r="EO102" s="792"/>
      <c r="EP102" s="459"/>
      <c r="EQ102" s="869"/>
      <c r="ER102" s="869"/>
      <c r="ES102" s="869"/>
      <c r="ET102" s="860"/>
      <c r="EU102" s="347"/>
      <c r="EV102" s="834"/>
      <c r="EW102" s="834"/>
      <c r="EX102" s="348"/>
      <c r="EY102" s="349"/>
      <c r="EZ102" s="871"/>
    </row>
    <row r="103" spans="1:166" ht="14.25" thickTop="1" thickBot="1">
      <c r="A103" s="777"/>
      <c r="B103" s="872"/>
      <c r="C103" s="407" t="s">
        <v>57</v>
      </c>
      <c r="D103" s="368">
        <f>SUM(D94,D96:D99)</f>
        <v>96673.419999999984</v>
      </c>
      <c r="E103" s="368">
        <f>SUM(E94,E96:E99)</f>
        <v>91111.709999999992</v>
      </c>
      <c r="F103" s="368">
        <f>SUM(F94,F96:F99)</f>
        <v>0</v>
      </c>
      <c r="G103" s="354">
        <f>SUM(G94,G96:G99)</f>
        <v>128.11717614408582</v>
      </c>
      <c r="H103" s="467">
        <f>+E103+F103-G103</f>
        <v>90983.592823855899</v>
      </c>
      <c r="I103" s="468">
        <f>IF(E103=0,"-",H103/E103)</f>
        <v>0.99859384511448535</v>
      </c>
      <c r="J103" s="468">
        <f>IF(ISERROR(G103/E103),"",G103/E103)</f>
        <v>1.4061548855145605E-3</v>
      </c>
      <c r="K103" s="357">
        <f>D103-E103</f>
        <v>5561.7099999999919</v>
      </c>
      <c r="L103" s="354">
        <f>SUM(L94,L96:L99)</f>
        <v>128.11717614408553</v>
      </c>
      <c r="M103" s="358">
        <f>D103-H103</f>
        <v>5689.8271761440847</v>
      </c>
      <c r="N103" s="785"/>
      <c r="O103" s="798"/>
      <c r="P103" s="272" t="s">
        <v>57</v>
      </c>
      <c r="Q103" s="215">
        <f>SUM(Q94,Q96:Q99)</f>
        <v>193542.8</v>
      </c>
      <c r="R103" s="215">
        <f>SUM(R94,R96:R99)</f>
        <v>183230.71999999997</v>
      </c>
      <c r="S103" s="215">
        <f>SUM(S94,S96:S99)</f>
        <v>0</v>
      </c>
      <c r="T103" s="215">
        <f>SUM(T94,T96:T99)</f>
        <v>469.90006031062427</v>
      </c>
      <c r="U103" s="215">
        <f>SUM(U94,U96:U99)</f>
        <v>182760.81993968936</v>
      </c>
      <c r="V103" s="365">
        <f>IF(R103=0,"-",U103/R103)</f>
        <v>0.99743547337307514</v>
      </c>
      <c r="W103" s="365">
        <f>IF(ISERROR(T103/R103),"-",T103/R103)</f>
        <v>2.5645266269249192E-3</v>
      </c>
      <c r="X103" s="359">
        <f>Q103-R103</f>
        <v>10312.080000000016</v>
      </c>
      <c r="Y103" s="117">
        <f>R103-U103</f>
        <v>469.90006031061057</v>
      </c>
      <c r="Z103" s="360">
        <f>Q103-U103</f>
        <v>10781.980060310627</v>
      </c>
      <c r="AA103" s="25"/>
      <c r="AB103" s="799"/>
      <c r="AC103" s="272" t="s">
        <v>57</v>
      </c>
      <c r="AD103" s="215">
        <f>SUM(AD94,AD96:AD99)</f>
        <v>285715.80999999994</v>
      </c>
      <c r="AE103" s="215">
        <f t="shared" ref="AE103:AH103" si="450">SUM(AE94,AE96:AE99)</f>
        <v>269680.24</v>
      </c>
      <c r="AF103" s="215">
        <f t="shared" si="450"/>
        <v>2.35</v>
      </c>
      <c r="AG103" s="215">
        <f t="shared" si="450"/>
        <v>685.77704838165141</v>
      </c>
      <c r="AH103" s="215">
        <f t="shared" si="450"/>
        <v>268996.81295161834</v>
      </c>
      <c r="AI103" s="365">
        <f>IF(AE103=0,"-",AH103/AE103)</f>
        <v>0.99746578745116199</v>
      </c>
      <c r="AJ103" s="365">
        <f>IF(ISERROR(AG103/AE103),"-",AG103/AE103)</f>
        <v>2.5429265725277145E-3</v>
      </c>
      <c r="AK103" s="359">
        <f>AD103-AE103</f>
        <v>16035.569999999949</v>
      </c>
      <c r="AL103" s="117">
        <f>AE103-AH103</f>
        <v>683.42704838165082</v>
      </c>
      <c r="AM103" s="360">
        <f>AD103-AH103</f>
        <v>16718.9970483816</v>
      </c>
      <c r="AN103" s="25"/>
      <c r="AO103" s="231"/>
      <c r="AP103" s="272" t="s">
        <v>57</v>
      </c>
      <c r="AQ103" s="215">
        <f>SUM(AQ94,AQ96:AQ99)</f>
        <v>381298.66</v>
      </c>
      <c r="AR103" s="215">
        <f t="shared" ref="AR103:AU103" si="451">SUM(AR94,AR96:AR99)</f>
        <v>361076.18</v>
      </c>
      <c r="AS103" s="215">
        <f t="shared" si="451"/>
        <v>2.35</v>
      </c>
      <c r="AT103" s="215">
        <f t="shared" si="451"/>
        <v>949.70594332062274</v>
      </c>
      <c r="AU103" s="215">
        <f t="shared" si="451"/>
        <v>360128.82405667938</v>
      </c>
      <c r="AV103" s="365">
        <f>IF(AR103=0,"-",AU103/AR103)</f>
        <v>0.99737629897568814</v>
      </c>
      <c r="AW103" s="365">
        <f>IF(ISERROR(AT103/AR103),"-",AT103/AR103)</f>
        <v>2.630209346184572E-3</v>
      </c>
      <c r="AX103" s="359">
        <f>AQ103-AR103</f>
        <v>20222.479999999981</v>
      </c>
      <c r="AY103" s="117">
        <f>AR103-AU103</f>
        <v>947.35594332061009</v>
      </c>
      <c r="AZ103" s="360">
        <f>AQ103-AU103</f>
        <v>21169.835943320591</v>
      </c>
      <c r="BA103" s="25"/>
      <c r="BB103" s="375"/>
      <c r="BC103" s="272" t="s">
        <v>57</v>
      </c>
      <c r="BD103" s="215">
        <f>SUM(BD94,BD96:BD99)</f>
        <v>473667.62</v>
      </c>
      <c r="BE103" s="215">
        <f t="shared" ref="BE103:BH103" si="452">SUM(BE94,BE96:BE99)</f>
        <v>361076.18</v>
      </c>
      <c r="BF103" s="215">
        <f t="shared" si="452"/>
        <v>2.35</v>
      </c>
      <c r="BG103" s="215">
        <f t="shared" si="452"/>
        <v>949.70594332062274</v>
      </c>
      <c r="BH103" s="215">
        <f t="shared" si="452"/>
        <v>360128.82405667938</v>
      </c>
      <c r="BI103" s="365">
        <f>IF(BE103=0,"-",BH103/BE103)</f>
        <v>0.99737629897568814</v>
      </c>
      <c r="BJ103" s="365">
        <f>IF(ISERROR(BG103/BE103),"-",BG103/BE103)</f>
        <v>2.630209346184572E-3</v>
      </c>
      <c r="BK103" s="359">
        <f>BD103-BE103</f>
        <v>112591.44</v>
      </c>
      <c r="BL103" s="117">
        <f>BE103-BH103</f>
        <v>947.35594332061009</v>
      </c>
      <c r="BM103" s="360">
        <f>BD103-BH103</f>
        <v>113538.79594332061</v>
      </c>
      <c r="BN103" s="25"/>
      <c r="BO103" s="255"/>
      <c r="BP103" s="272" t="s">
        <v>57</v>
      </c>
      <c r="BQ103" s="215">
        <f>SUM(BQ94,BQ96:BQ99)</f>
        <v>569250.47000000009</v>
      </c>
      <c r="BR103" s="215">
        <f t="shared" ref="BR103:BU103" si="453">SUM(BR94,BR96:BR99)</f>
        <v>361076.18</v>
      </c>
      <c r="BS103" s="215">
        <f t="shared" si="453"/>
        <v>2.35</v>
      </c>
      <c r="BT103" s="215">
        <f t="shared" si="453"/>
        <v>949.70594332062274</v>
      </c>
      <c r="BU103" s="215">
        <f t="shared" si="453"/>
        <v>360128.82405667938</v>
      </c>
      <c r="BV103" s="365">
        <f>IF(BR103=0,"-",BU103/BR103)</f>
        <v>0.99737629897568814</v>
      </c>
      <c r="BW103" s="365">
        <f>IF(ISERROR(BT103/BR103),"-",BT103/BR103)</f>
        <v>2.630209346184572E-3</v>
      </c>
      <c r="BX103" s="359">
        <f>BQ103-BR103</f>
        <v>208174.2900000001</v>
      </c>
      <c r="BY103" s="117">
        <f>BR103-BU103</f>
        <v>947.35594332061009</v>
      </c>
      <c r="BZ103" s="360">
        <f>BQ103-BU103</f>
        <v>209121.64594332071</v>
      </c>
      <c r="CA103" s="25"/>
      <c r="CB103" s="256"/>
      <c r="CC103" s="272" t="s">
        <v>57</v>
      </c>
      <c r="CD103" s="215">
        <f>SUM(CD94,CD96:CD99)</f>
        <v>664938.0199999999</v>
      </c>
      <c r="CE103" s="215">
        <f t="shared" ref="CE103:CH103" si="454">SUM(CE94,CE96:CE99)</f>
        <v>361076.18</v>
      </c>
      <c r="CF103" s="215">
        <f t="shared" si="454"/>
        <v>2.35</v>
      </c>
      <c r="CG103" s="215">
        <f t="shared" si="454"/>
        <v>949.70594332062274</v>
      </c>
      <c r="CH103" s="215">
        <f t="shared" si="454"/>
        <v>360128.82405667938</v>
      </c>
      <c r="CI103" s="365">
        <f>IF(CE103=0,"-",CH103/CE103)</f>
        <v>0.99737629897568814</v>
      </c>
      <c r="CJ103" s="365">
        <f>IF(ISERROR(CG103/CE103),"-",CG103/CE103)</f>
        <v>2.630209346184572E-3</v>
      </c>
      <c r="CK103" s="359">
        <f>CD103-CE103</f>
        <v>303861.83999999991</v>
      </c>
      <c r="CL103" s="117">
        <f>CE103-CH103</f>
        <v>947.35594332061009</v>
      </c>
      <c r="CM103" s="360">
        <f>CD103-CH103</f>
        <v>304809.19594332052</v>
      </c>
      <c r="CO103" s="233"/>
      <c r="CP103" s="272" t="s">
        <v>57</v>
      </c>
      <c r="CQ103" s="215">
        <f>SUM(CQ94,CQ96:CQ99)</f>
        <v>760625.57</v>
      </c>
      <c r="CR103" s="215">
        <f t="shared" ref="CR103:CU103" si="455">SUM(CR94,CR96:CR99)</f>
        <v>361076.18</v>
      </c>
      <c r="CS103" s="215">
        <f t="shared" si="455"/>
        <v>2.35</v>
      </c>
      <c r="CT103" s="215">
        <f t="shared" si="455"/>
        <v>949.70594332062274</v>
      </c>
      <c r="CU103" s="215">
        <f t="shared" si="455"/>
        <v>360128.82405667938</v>
      </c>
      <c r="CV103" s="365">
        <f>IF(CR103=0,"-",CU103/CR103)</f>
        <v>0.99737629897568814</v>
      </c>
      <c r="CW103" s="365">
        <f>IF(ISERROR(CT103/CR103),"-",CT103/CR103)</f>
        <v>2.630209346184572E-3</v>
      </c>
      <c r="CX103" s="359">
        <f>CQ103-CR103</f>
        <v>399549.38999999996</v>
      </c>
      <c r="CY103" s="117">
        <f>CR103-CU103</f>
        <v>947.35594332061009</v>
      </c>
      <c r="CZ103" s="360">
        <f>CQ103-CU103</f>
        <v>400496.74594332057</v>
      </c>
      <c r="DA103" s="211"/>
      <c r="DB103" s="384"/>
      <c r="DC103" s="272" t="s">
        <v>57</v>
      </c>
      <c r="DD103" s="215">
        <f>SUM(DD94,DD96:DD99)</f>
        <v>850570.57000000007</v>
      </c>
      <c r="DE103" s="215">
        <f t="shared" ref="DE103:DH103" si="456">SUM(DE94,DE96:DE99)</f>
        <v>361076.18</v>
      </c>
      <c r="DF103" s="215">
        <f t="shared" si="456"/>
        <v>2.35</v>
      </c>
      <c r="DG103" s="215">
        <f t="shared" si="456"/>
        <v>949.70594332062274</v>
      </c>
      <c r="DH103" s="215">
        <f t="shared" si="456"/>
        <v>360128.82405667938</v>
      </c>
      <c r="DI103" s="365">
        <f>IF(DE103=0,"-",DH103/DE103)</f>
        <v>0.99737629897568814</v>
      </c>
      <c r="DJ103" s="365">
        <f>IF(ISERROR(DG103/DE103),"-",DG103/DE103)</f>
        <v>2.630209346184572E-3</v>
      </c>
      <c r="DK103" s="359">
        <f>DD103-DE103</f>
        <v>489494.39000000007</v>
      </c>
      <c r="DL103" s="117">
        <f>DE103-DH103</f>
        <v>947.35594332061009</v>
      </c>
      <c r="DM103" s="360">
        <f>DD103-DH103</f>
        <v>490441.74594332068</v>
      </c>
      <c r="DN103" s="25"/>
      <c r="DO103" s="234"/>
      <c r="DP103" s="272" t="s">
        <v>57</v>
      </c>
      <c r="DQ103" s="215">
        <f>SUM(DQ94,DQ96:DQ99)</f>
        <v>947243.99</v>
      </c>
      <c r="DR103" s="215">
        <f t="shared" ref="DR103:DU103" si="457">SUM(DR94,DR96:DR99)</f>
        <v>361076.18</v>
      </c>
      <c r="DS103" s="215">
        <f t="shared" si="457"/>
        <v>2.35</v>
      </c>
      <c r="DT103" s="215">
        <f t="shared" si="457"/>
        <v>949.70594332062274</v>
      </c>
      <c r="DU103" s="215">
        <f t="shared" si="457"/>
        <v>360128.82405667938</v>
      </c>
      <c r="DV103" s="365">
        <f>IF(DR103=0,"-",DU103/DR103)</f>
        <v>0.99737629897568814</v>
      </c>
      <c r="DW103" s="365">
        <f>IF(ISERROR(DT103/DR103),"-",DT103/DR103)</f>
        <v>2.630209346184572E-3</v>
      </c>
      <c r="DX103" s="359">
        <f>DQ103-DR103</f>
        <v>586167.81000000006</v>
      </c>
      <c r="DY103" s="117">
        <f>DR103-DU103</f>
        <v>947.35594332061009</v>
      </c>
      <c r="DZ103" s="360">
        <f>DQ103-DU103</f>
        <v>587115.16594332061</v>
      </c>
      <c r="EA103" s="785"/>
      <c r="EB103" s="257"/>
      <c r="EC103" s="272" t="s">
        <v>57</v>
      </c>
      <c r="ED103" s="215">
        <f>SUM(ED94,ED96:ED99)</f>
        <v>1041932.2099999998</v>
      </c>
      <c r="EE103" s="215">
        <f t="shared" ref="EE103:EH103" si="458">SUM(EE94,EE96:EE99)</f>
        <v>361076.18</v>
      </c>
      <c r="EF103" s="215">
        <f t="shared" si="458"/>
        <v>2.35</v>
      </c>
      <c r="EG103" s="215">
        <f t="shared" si="458"/>
        <v>949.70594332062274</v>
      </c>
      <c r="EH103" s="215">
        <f t="shared" si="458"/>
        <v>360128.82405667938</v>
      </c>
      <c r="EI103" s="365">
        <f>IF(EE103=0,"-",EH103/EE103)</f>
        <v>0.99737629897568814</v>
      </c>
      <c r="EJ103" s="365">
        <f>IF(ISERROR(EG103/EE103),"-",EG103/EE103)</f>
        <v>2.630209346184572E-3</v>
      </c>
      <c r="EK103" s="359">
        <f>ED103-EE103</f>
        <v>680856.0299999998</v>
      </c>
      <c r="EL103" s="117">
        <f>EE103-EH103</f>
        <v>947.35594332061009</v>
      </c>
      <c r="EM103" s="360">
        <f>ED103-EH103</f>
        <v>681803.38594332046</v>
      </c>
      <c r="EN103" s="25"/>
      <c r="EO103" s="775"/>
      <c r="EP103" s="272" t="s">
        <v>57</v>
      </c>
      <c r="EQ103" s="215">
        <f>SUM(EQ94,EQ96:EQ99)</f>
        <v>1136286.3799999999</v>
      </c>
      <c r="ER103" s="215">
        <f t="shared" ref="ER103:EU103" si="459">SUM(ER94,ER96:ER99)</f>
        <v>361076.18</v>
      </c>
      <c r="ES103" s="215">
        <f t="shared" si="459"/>
        <v>2.35</v>
      </c>
      <c r="ET103" s="215">
        <f t="shared" si="459"/>
        <v>949.70594332062274</v>
      </c>
      <c r="EU103" s="215">
        <f t="shared" si="459"/>
        <v>360128.82405667938</v>
      </c>
      <c r="EV103" s="365">
        <f>IF(ER103=0,"-",EU103/ER103)</f>
        <v>0.99737629897568814</v>
      </c>
      <c r="EW103" s="365">
        <f>IF(ISERROR(ET103/ER103),"-",ET103/ER103)</f>
        <v>2.630209346184572E-3</v>
      </c>
      <c r="EX103" s="359">
        <f>EQ103-ER103</f>
        <v>775210.2</v>
      </c>
      <c r="EY103" s="117">
        <f>ER103-EU103</f>
        <v>947.35594332061009</v>
      </c>
      <c r="EZ103" s="360">
        <f>EQ103-EU103</f>
        <v>776157.55594332051</v>
      </c>
    </row>
    <row r="104" spans="1:166">
      <c r="A104" s="776"/>
      <c r="B104" s="807"/>
      <c r="C104" s="807"/>
      <c r="D104" s="772"/>
      <c r="E104" s="807"/>
      <c r="F104" s="807"/>
      <c r="G104" s="807"/>
      <c r="H104" s="873"/>
      <c r="I104" s="874"/>
      <c r="J104" s="874"/>
      <c r="K104" s="807"/>
      <c r="L104" s="807"/>
      <c r="M104" s="807"/>
      <c r="N104" s="776"/>
      <c r="O104" s="776"/>
      <c r="P104" s="807"/>
      <c r="Q104" s="772"/>
      <c r="R104" s="807"/>
      <c r="S104" s="807"/>
      <c r="T104" s="776"/>
      <c r="U104" s="776"/>
      <c r="V104" s="875"/>
      <c r="W104" s="875"/>
      <c r="X104" s="776"/>
      <c r="Y104" s="785"/>
      <c r="Z104" s="785"/>
      <c r="AA104" s="776"/>
      <c r="AB104" s="776"/>
      <c r="AC104" s="807"/>
      <c r="AD104" s="772"/>
      <c r="AE104" s="807"/>
      <c r="AF104" s="807"/>
      <c r="AG104" s="785"/>
      <c r="AH104" s="776"/>
      <c r="AI104" s="875"/>
      <c r="AJ104" s="875"/>
      <c r="AK104" s="776"/>
      <c r="AL104" s="776"/>
      <c r="AM104" s="776"/>
      <c r="AN104" s="776"/>
      <c r="AO104" s="776"/>
      <c r="AP104" s="785"/>
      <c r="AQ104" s="776"/>
      <c r="AR104" s="776"/>
      <c r="AS104" s="776"/>
      <c r="AT104" s="776"/>
      <c r="AU104" s="776"/>
      <c r="AV104" s="875"/>
      <c r="AW104" s="875"/>
      <c r="AX104" s="776"/>
      <c r="AY104" s="776"/>
      <c r="AZ104" s="776"/>
      <c r="BA104" s="776"/>
      <c r="BB104" s="776"/>
      <c r="BC104" s="776"/>
      <c r="BD104" s="776"/>
      <c r="BE104" s="776"/>
      <c r="BF104" s="776"/>
      <c r="BG104" s="776"/>
      <c r="BH104" s="776"/>
      <c r="BI104" s="875"/>
      <c r="BJ104" s="875"/>
      <c r="BK104" s="785"/>
      <c r="BL104" s="776"/>
      <c r="BM104" s="776"/>
      <c r="BN104" s="776"/>
      <c r="BO104" s="776"/>
      <c r="BP104" s="776"/>
      <c r="BQ104" s="785"/>
      <c r="BR104" s="776"/>
      <c r="BS104" s="776"/>
      <c r="BT104" s="776"/>
      <c r="BU104" s="776"/>
      <c r="BV104" s="875"/>
      <c r="BW104" s="875"/>
      <c r="BX104" s="785"/>
      <c r="BY104" s="776"/>
      <c r="BZ104" s="776"/>
      <c r="CA104" s="776"/>
      <c r="CB104" s="776"/>
      <c r="CC104" s="776"/>
      <c r="CD104" s="785"/>
      <c r="CE104" s="776"/>
      <c r="CF104" s="776"/>
      <c r="CG104" s="776"/>
      <c r="CH104" s="776"/>
      <c r="CI104" s="875"/>
      <c r="CJ104" s="875"/>
      <c r="CK104" s="776"/>
      <c r="CL104" s="776"/>
      <c r="CM104" s="776"/>
    </row>
    <row r="105" spans="1:166">
      <c r="AC105" s="262"/>
      <c r="AD105" s="262"/>
      <c r="AE105" s="262"/>
      <c r="AF105" s="262"/>
      <c r="AG105" s="262"/>
      <c r="AH105" s="262"/>
      <c r="AJ105" s="265"/>
      <c r="AK105" s="262"/>
      <c r="AL105" s="262"/>
      <c r="AM105" s="262"/>
      <c r="AN105" s="262"/>
      <c r="AO105" s="262"/>
      <c r="AP105" s="262"/>
      <c r="AV105" s="198"/>
      <c r="AW105" s="198"/>
      <c r="BA105" s="198"/>
      <c r="BI105" s="198"/>
      <c r="BJ105" s="198"/>
      <c r="BK105" s="198"/>
      <c r="BQ105" s="198"/>
      <c r="BV105" s="198"/>
      <c r="BW105" s="198"/>
      <c r="BX105" s="198"/>
      <c r="CD105" s="198"/>
      <c r="CI105" s="198"/>
      <c r="CJ105" s="198"/>
      <c r="CP105" s="198"/>
      <c r="CV105" s="198"/>
      <c r="CW105" s="198"/>
      <c r="DI105" s="198"/>
      <c r="DJ105" s="198"/>
      <c r="DV105" s="198"/>
      <c r="DW105" s="198"/>
      <c r="EI105" s="198"/>
      <c r="EJ105" s="198"/>
      <c r="EV105" s="198"/>
      <c r="EW105" s="198"/>
    </row>
    <row r="106" spans="1:166">
      <c r="AC106" s="262"/>
      <c r="AD106" s="262"/>
      <c r="AE106" s="262"/>
      <c r="AF106" s="262"/>
      <c r="AG106" s="262"/>
      <c r="AH106" s="262"/>
      <c r="AJ106" s="265"/>
      <c r="AK106" s="262"/>
      <c r="AL106" s="262"/>
      <c r="AM106" s="262"/>
      <c r="AN106" s="262"/>
      <c r="AO106" s="262"/>
      <c r="AP106" s="262"/>
      <c r="AV106" s="198"/>
      <c r="AW106" s="198"/>
      <c r="BA106" s="198"/>
      <c r="BI106" s="198"/>
      <c r="BJ106" s="198"/>
      <c r="BK106" s="198"/>
      <c r="BQ106" s="198"/>
      <c r="BV106" s="198"/>
      <c r="BW106" s="198"/>
      <c r="BX106" s="198"/>
      <c r="CD106" s="198"/>
      <c r="CI106" s="198"/>
      <c r="CJ106" s="198"/>
      <c r="CP106" s="198"/>
      <c r="CV106" s="198"/>
      <c r="CW106" s="198"/>
      <c r="DI106" s="198"/>
      <c r="DJ106" s="198"/>
      <c r="DV106" s="198"/>
      <c r="DW106" s="198"/>
      <c r="EI106" s="198"/>
      <c r="EJ106" s="198"/>
      <c r="EV106" s="198"/>
      <c r="EW106" s="198"/>
    </row>
    <row r="107" spans="1:166">
      <c r="AC107" s="262"/>
      <c r="AD107" s="262"/>
      <c r="AE107" s="262"/>
      <c r="AF107" s="262"/>
      <c r="AG107" s="262"/>
      <c r="AH107" s="262"/>
      <c r="AJ107" s="265"/>
      <c r="AK107" s="262"/>
      <c r="AL107" s="262"/>
      <c r="AM107" s="262"/>
      <c r="AN107" s="262"/>
      <c r="AO107" s="262"/>
      <c r="AP107" s="262"/>
      <c r="AV107" s="198"/>
      <c r="AW107" s="198"/>
      <c r="BA107" s="198"/>
      <c r="BI107" s="198"/>
      <c r="BJ107" s="198"/>
      <c r="BK107" s="198"/>
      <c r="BQ107" s="198"/>
      <c r="BV107" s="198"/>
      <c r="BW107" s="198"/>
      <c r="BX107" s="198"/>
      <c r="CD107" s="198"/>
      <c r="CI107" s="198"/>
      <c r="CJ107" s="198"/>
      <c r="CP107" s="198"/>
      <c r="CV107" s="198"/>
      <c r="CW107" s="198"/>
      <c r="DI107" s="198"/>
      <c r="DJ107" s="198"/>
      <c r="DV107" s="198"/>
      <c r="DW107" s="198"/>
      <c r="EI107" s="198"/>
      <c r="EJ107" s="198"/>
      <c r="EV107" s="198"/>
      <c r="EW107" s="198"/>
    </row>
    <row r="108" spans="1:166">
      <c r="AC108" s="262"/>
      <c r="AD108" s="262"/>
      <c r="AE108" s="262"/>
      <c r="AF108" s="262"/>
      <c r="AG108" s="262"/>
      <c r="AH108" s="262"/>
      <c r="AJ108" s="265"/>
      <c r="AK108" s="262"/>
      <c r="AL108" s="262"/>
      <c r="AM108" s="262"/>
      <c r="AN108" s="262"/>
      <c r="AO108" s="262"/>
      <c r="AP108" s="262"/>
      <c r="AV108" s="198"/>
      <c r="AW108" s="198"/>
      <c r="BA108" s="198"/>
      <c r="BI108" s="198"/>
      <c r="BJ108" s="198"/>
      <c r="BK108" s="198"/>
      <c r="BQ108" s="198"/>
      <c r="BV108" s="198"/>
      <c r="BW108" s="198"/>
      <c r="BX108" s="198"/>
      <c r="CD108" s="198"/>
      <c r="CI108" s="198"/>
      <c r="CJ108" s="198"/>
      <c r="CP108" s="198"/>
      <c r="CV108" s="198"/>
      <c r="CW108" s="198"/>
      <c r="DI108" s="198"/>
      <c r="DJ108" s="198"/>
      <c r="DV108" s="198"/>
      <c r="DW108" s="198"/>
      <c r="EI108" s="198"/>
      <c r="EJ108" s="198"/>
      <c r="EV108" s="198"/>
      <c r="EW108" s="198"/>
    </row>
    <row r="109" spans="1:166">
      <c r="AC109" s="262"/>
      <c r="AD109" s="262"/>
      <c r="AE109" s="262"/>
      <c r="AF109" s="262"/>
      <c r="AG109" s="262"/>
      <c r="AH109" s="262"/>
      <c r="AJ109" s="265"/>
      <c r="AK109" s="262"/>
      <c r="AL109" s="262"/>
      <c r="AM109" s="262"/>
      <c r="AN109" s="262"/>
      <c r="AO109" s="262"/>
      <c r="AP109" s="262"/>
      <c r="AV109" s="198"/>
      <c r="AW109" s="198"/>
      <c r="BA109" s="198"/>
      <c r="BI109" s="198"/>
      <c r="BJ109" s="198"/>
      <c r="BK109" s="198"/>
      <c r="BQ109" s="198"/>
      <c r="BV109" s="198"/>
      <c r="BW109" s="198"/>
      <c r="BX109" s="198"/>
      <c r="CD109" s="198"/>
      <c r="CI109" s="198"/>
      <c r="CJ109" s="198"/>
      <c r="CP109" s="198"/>
      <c r="CV109" s="198"/>
      <c r="CW109" s="198"/>
      <c r="DI109" s="198"/>
      <c r="DJ109" s="198"/>
      <c r="DV109" s="198"/>
      <c r="DW109" s="198"/>
      <c r="EI109" s="198"/>
      <c r="EJ109" s="198"/>
      <c r="EV109" s="198"/>
      <c r="EW109" s="198"/>
    </row>
    <row r="110" spans="1:166">
      <c r="D110" s="785"/>
      <c r="AC110" s="262"/>
      <c r="AD110" s="262"/>
      <c r="AE110" s="262"/>
      <c r="AF110" s="262"/>
      <c r="AG110" s="262"/>
      <c r="AH110" s="262"/>
      <c r="AJ110" s="265"/>
      <c r="AK110" s="262"/>
      <c r="AL110" s="262"/>
      <c r="AM110" s="262"/>
      <c r="AN110" s="262"/>
      <c r="AO110" s="262"/>
      <c r="AP110" s="262"/>
      <c r="AV110" s="198"/>
      <c r="AW110" s="198"/>
      <c r="BA110" s="198"/>
      <c r="BI110" s="198"/>
      <c r="BJ110" s="198"/>
      <c r="BK110" s="198"/>
      <c r="BQ110" s="198"/>
      <c r="BV110" s="198"/>
      <c r="BW110" s="198"/>
      <c r="BX110" s="198"/>
      <c r="CD110" s="198"/>
      <c r="CI110" s="198"/>
      <c r="CJ110" s="198"/>
      <c r="CP110" s="198"/>
      <c r="CV110" s="198"/>
      <c r="CW110" s="198"/>
      <c r="DI110" s="198"/>
      <c r="DJ110" s="198"/>
      <c r="DV110" s="198"/>
      <c r="DW110" s="198"/>
      <c r="EI110" s="198"/>
      <c r="EJ110" s="198"/>
      <c r="EV110" s="198"/>
      <c r="EW110" s="198"/>
    </row>
    <row r="111" spans="1:166">
      <c r="AC111" s="262"/>
      <c r="AD111" s="262"/>
      <c r="AE111" s="262"/>
      <c r="AF111" s="262"/>
      <c r="AG111" s="262"/>
      <c r="AH111" s="262"/>
      <c r="AJ111" s="265"/>
      <c r="AK111" s="262"/>
      <c r="AL111" s="262"/>
      <c r="AM111" s="262"/>
      <c r="AN111" s="262"/>
      <c r="AO111" s="262"/>
      <c r="AP111" s="262"/>
      <c r="AV111" s="198"/>
      <c r="AW111" s="198"/>
      <c r="BA111" s="198"/>
      <c r="BI111" s="198"/>
      <c r="BJ111" s="198"/>
      <c r="BK111" s="198"/>
      <c r="BQ111" s="198"/>
      <c r="BV111" s="198"/>
      <c r="BW111" s="198"/>
      <c r="BX111" s="198"/>
      <c r="CD111" s="198"/>
      <c r="CI111" s="198"/>
      <c r="CJ111" s="198"/>
      <c r="CP111" s="198"/>
      <c r="CV111" s="198"/>
      <c r="CW111" s="198"/>
      <c r="DI111" s="198"/>
      <c r="DJ111" s="198"/>
      <c r="DV111" s="198"/>
      <c r="DW111" s="198"/>
      <c r="EI111" s="198"/>
      <c r="EJ111" s="198"/>
      <c r="EV111" s="198"/>
      <c r="EW111" s="198"/>
    </row>
    <row r="112" spans="1:166">
      <c r="AC112" s="262"/>
      <c r="AD112" s="262"/>
      <c r="AE112" s="262"/>
      <c r="AF112" s="262"/>
      <c r="AG112" s="262"/>
      <c r="AH112" s="262"/>
      <c r="AJ112" s="265"/>
      <c r="AK112" s="262"/>
      <c r="AL112" s="262"/>
      <c r="AM112" s="262"/>
      <c r="AN112" s="262"/>
      <c r="AO112" s="262"/>
      <c r="AP112" s="262"/>
      <c r="AV112" s="198"/>
      <c r="AW112" s="198"/>
      <c r="BA112" s="198"/>
      <c r="BI112" s="198"/>
      <c r="BJ112" s="198"/>
      <c r="BK112" s="198"/>
      <c r="BQ112" s="198"/>
      <c r="BV112" s="198"/>
      <c r="BW112" s="198"/>
      <c r="BX112" s="198"/>
      <c r="CD112" s="198"/>
      <c r="CI112" s="198"/>
      <c r="CJ112" s="198"/>
      <c r="CP112" s="198"/>
      <c r="CV112" s="198"/>
      <c r="CW112" s="198"/>
      <c r="DI112" s="198"/>
      <c r="DJ112" s="198"/>
      <c r="DV112" s="198"/>
      <c r="DW112" s="198"/>
      <c r="EI112" s="198"/>
      <c r="EJ112" s="198"/>
      <c r="EV112" s="198"/>
      <c r="EW112" s="198"/>
    </row>
    <row r="113" spans="4:153">
      <c r="AC113" s="262"/>
      <c r="AD113" s="262"/>
      <c r="AE113" s="262"/>
      <c r="AF113" s="262"/>
      <c r="AG113" s="262"/>
      <c r="AH113" s="262"/>
      <c r="AJ113" s="265"/>
      <c r="AK113" s="262"/>
      <c r="AL113" s="262"/>
      <c r="AM113" s="262"/>
      <c r="AN113" s="262"/>
      <c r="AO113" s="262"/>
      <c r="AP113" s="262"/>
      <c r="AV113" s="198"/>
      <c r="AW113" s="198"/>
      <c r="BA113" s="198"/>
      <c r="BI113" s="198"/>
      <c r="BJ113" s="198"/>
      <c r="BK113" s="198"/>
      <c r="BQ113" s="198"/>
      <c r="BV113" s="198"/>
      <c r="BW113" s="198"/>
      <c r="BX113" s="198"/>
      <c r="CD113" s="198"/>
      <c r="CI113" s="198"/>
      <c r="CJ113" s="198"/>
      <c r="CP113" s="198"/>
      <c r="CV113" s="198"/>
      <c r="CW113" s="198"/>
      <c r="DI113" s="198"/>
      <c r="DJ113" s="198"/>
      <c r="DV113" s="198"/>
      <c r="DW113" s="198"/>
      <c r="EI113" s="198"/>
      <c r="EJ113" s="198"/>
      <c r="EV113" s="198"/>
      <c r="EW113" s="198"/>
    </row>
    <row r="114" spans="4:153">
      <c r="AC114" s="262"/>
      <c r="AD114" s="262"/>
      <c r="AE114" s="262"/>
      <c r="AF114" s="262"/>
      <c r="AG114" s="262"/>
      <c r="AH114" s="262"/>
      <c r="AJ114" s="265"/>
      <c r="AK114" s="262"/>
      <c r="AL114" s="262"/>
      <c r="AM114" s="262"/>
      <c r="AN114" s="262"/>
      <c r="AO114" s="262"/>
      <c r="AP114" s="262"/>
      <c r="AV114" s="198"/>
      <c r="AW114" s="198"/>
      <c r="BA114" s="198"/>
      <c r="BI114" s="198"/>
      <c r="BJ114" s="198"/>
      <c r="BK114" s="198"/>
      <c r="BQ114" s="198"/>
      <c r="BV114" s="198"/>
      <c r="BW114" s="198"/>
      <c r="BX114" s="198"/>
      <c r="CD114" s="198"/>
      <c r="CI114" s="198"/>
      <c r="CJ114" s="198"/>
      <c r="CP114" s="198"/>
      <c r="CV114" s="198"/>
      <c r="CW114" s="198"/>
      <c r="DI114" s="198"/>
      <c r="DJ114" s="198"/>
      <c r="DV114" s="198"/>
      <c r="DW114" s="198"/>
      <c r="EI114" s="198"/>
      <c r="EJ114" s="198"/>
      <c r="EV114" s="198"/>
      <c r="EW114" s="198"/>
    </row>
    <row r="115" spans="4:153">
      <c r="AC115" s="262"/>
      <c r="AD115" s="262"/>
      <c r="AE115" s="262"/>
      <c r="AF115" s="262"/>
      <c r="AG115" s="262"/>
      <c r="AH115" s="262"/>
      <c r="AJ115" s="265"/>
      <c r="AK115" s="262"/>
      <c r="AL115" s="262"/>
      <c r="AM115" s="262"/>
      <c r="AN115" s="262"/>
      <c r="AO115" s="262"/>
      <c r="AP115" s="262"/>
      <c r="AV115" s="198"/>
      <c r="AW115" s="198"/>
      <c r="BA115" s="198"/>
      <c r="BI115" s="198"/>
      <c r="BJ115" s="198"/>
      <c r="BK115" s="198"/>
      <c r="BQ115" s="198"/>
      <c r="BV115" s="198"/>
      <c r="BW115" s="198"/>
      <c r="BX115" s="198"/>
      <c r="CD115" s="198"/>
      <c r="CI115" s="198"/>
      <c r="CJ115" s="198"/>
      <c r="CP115" s="198"/>
      <c r="CV115" s="198"/>
      <c r="CW115" s="198"/>
      <c r="DI115" s="198"/>
      <c r="DJ115" s="198"/>
      <c r="DV115" s="198"/>
      <c r="DW115" s="198"/>
      <c r="EI115" s="198"/>
      <c r="EJ115" s="198"/>
      <c r="EV115" s="198"/>
      <c r="EW115" s="198"/>
    </row>
    <row r="116" spans="4:153">
      <c r="AC116" s="262"/>
      <c r="AD116" s="262"/>
      <c r="AE116" s="262"/>
      <c r="AF116" s="262"/>
      <c r="AG116" s="262"/>
      <c r="AH116" s="262"/>
      <c r="AJ116" s="265"/>
      <c r="AK116" s="262"/>
      <c r="AL116" s="262"/>
      <c r="AM116" s="262"/>
      <c r="AN116" s="262"/>
      <c r="AO116" s="262"/>
      <c r="AP116" s="262"/>
      <c r="AV116" s="198"/>
      <c r="AW116" s="198"/>
      <c r="BA116" s="198"/>
      <c r="BI116" s="198"/>
      <c r="BJ116" s="198"/>
      <c r="BK116" s="198"/>
      <c r="BQ116" s="198"/>
      <c r="BV116" s="198"/>
      <c r="BW116" s="198"/>
      <c r="BX116" s="198"/>
      <c r="CD116" s="198"/>
      <c r="CI116" s="198"/>
      <c r="CJ116" s="198"/>
      <c r="CP116" s="198"/>
      <c r="CV116" s="198"/>
      <c r="CW116" s="198"/>
      <c r="DI116" s="198"/>
      <c r="DJ116" s="198"/>
      <c r="DV116" s="198"/>
      <c r="DW116" s="198"/>
      <c r="EI116" s="198"/>
      <c r="EJ116" s="198"/>
      <c r="EV116" s="198"/>
      <c r="EW116" s="198"/>
    </row>
    <row r="117" spans="4:153">
      <c r="AC117" s="262"/>
      <c r="AD117" s="262"/>
      <c r="AE117" s="262"/>
      <c r="AF117" s="262"/>
      <c r="AG117" s="262"/>
      <c r="AH117" s="262"/>
      <c r="AJ117" s="265"/>
      <c r="AK117" s="262"/>
      <c r="AL117" s="262"/>
      <c r="AM117" s="262"/>
      <c r="AN117" s="262"/>
      <c r="AO117" s="262"/>
      <c r="AP117" s="262"/>
      <c r="AV117" s="198"/>
      <c r="AW117" s="198"/>
      <c r="BA117" s="198"/>
      <c r="BI117" s="198"/>
      <c r="BJ117" s="198"/>
      <c r="BK117" s="198"/>
      <c r="BQ117" s="198"/>
      <c r="BV117" s="198"/>
      <c r="BW117" s="198"/>
      <c r="BX117" s="198"/>
      <c r="CD117" s="198"/>
      <c r="CI117" s="198"/>
      <c r="CJ117" s="198"/>
      <c r="CP117" s="198"/>
      <c r="CV117" s="198"/>
      <c r="CW117" s="198"/>
      <c r="DI117" s="198"/>
      <c r="DJ117" s="198"/>
      <c r="DV117" s="198"/>
      <c r="DW117" s="198"/>
      <c r="EI117" s="198"/>
      <c r="EJ117" s="198"/>
      <c r="EV117" s="198"/>
      <c r="EW117" s="198"/>
    </row>
    <row r="118" spans="4:153">
      <c r="AC118" s="262"/>
      <c r="AD118" s="262"/>
      <c r="AE118" s="262"/>
      <c r="AF118" s="262"/>
      <c r="AG118" s="262"/>
      <c r="AH118" s="262"/>
      <c r="AJ118" s="265"/>
      <c r="AK118" s="262"/>
      <c r="AL118" s="262"/>
      <c r="AM118" s="262"/>
      <c r="AN118" s="262"/>
      <c r="AO118" s="262"/>
      <c r="AP118" s="262"/>
      <c r="AV118" s="198"/>
      <c r="AW118" s="198"/>
      <c r="BA118" s="198"/>
      <c r="BI118" s="198"/>
      <c r="BJ118" s="198"/>
      <c r="BK118" s="198"/>
      <c r="BQ118" s="198"/>
      <c r="BV118" s="198"/>
      <c r="BW118" s="198"/>
      <c r="BX118" s="198"/>
      <c r="CD118" s="198"/>
      <c r="CI118" s="198"/>
      <c r="CJ118" s="198"/>
      <c r="CP118" s="198"/>
      <c r="CV118" s="198"/>
      <c r="CW118" s="198"/>
      <c r="DI118" s="198"/>
      <c r="DJ118" s="198"/>
      <c r="DV118" s="198"/>
      <c r="DW118" s="198"/>
      <c r="EI118" s="198"/>
      <c r="EJ118" s="198"/>
      <c r="EV118" s="198"/>
      <c r="EW118" s="198"/>
    </row>
    <row r="119" spans="4:153">
      <c r="AC119" s="262"/>
      <c r="AD119" s="262"/>
      <c r="AE119" s="262"/>
      <c r="AF119" s="262"/>
      <c r="AG119" s="262"/>
      <c r="AH119" s="262"/>
      <c r="AJ119" s="265"/>
      <c r="AK119" s="262"/>
      <c r="AL119" s="262"/>
      <c r="AM119" s="262"/>
      <c r="AN119" s="262"/>
      <c r="AO119" s="262"/>
      <c r="AP119" s="262"/>
      <c r="AV119" s="198"/>
      <c r="AW119" s="198"/>
      <c r="BA119" s="198"/>
      <c r="BI119" s="198"/>
      <c r="BJ119" s="198"/>
      <c r="BK119" s="198"/>
      <c r="BQ119" s="198"/>
      <c r="BV119" s="198"/>
      <c r="BW119" s="198"/>
      <c r="BX119" s="198"/>
      <c r="CD119" s="198"/>
      <c r="CI119" s="198"/>
      <c r="CJ119" s="198"/>
      <c r="CP119" s="198"/>
      <c r="CV119" s="198"/>
      <c r="CW119" s="198"/>
      <c r="DI119" s="198"/>
      <c r="DJ119" s="198"/>
      <c r="DV119" s="198"/>
      <c r="DW119" s="198"/>
      <c r="EI119" s="198"/>
      <c r="EJ119" s="198"/>
      <c r="EV119" s="198"/>
      <c r="EW119" s="198"/>
    </row>
    <row r="120" spans="4:153">
      <c r="AC120" s="262"/>
      <c r="AD120" s="262"/>
      <c r="AE120" s="262"/>
      <c r="AF120" s="262"/>
      <c r="AG120" s="262"/>
      <c r="AH120" s="262"/>
      <c r="AJ120" s="265"/>
      <c r="AK120" s="262"/>
      <c r="AL120" s="262"/>
      <c r="AM120" s="262"/>
      <c r="AN120" s="262"/>
      <c r="AO120" s="262"/>
      <c r="AP120" s="262"/>
      <c r="AV120" s="198"/>
      <c r="AW120" s="198"/>
      <c r="BA120" s="198"/>
      <c r="BI120" s="198"/>
      <c r="BJ120" s="198"/>
      <c r="BK120" s="198"/>
      <c r="BQ120" s="198"/>
      <c r="BV120" s="198"/>
      <c r="BW120" s="198"/>
      <c r="BX120" s="198"/>
      <c r="CD120" s="198"/>
      <c r="CI120" s="198"/>
      <c r="CJ120" s="198"/>
      <c r="CP120" s="198"/>
      <c r="CV120" s="198"/>
      <c r="CW120" s="198"/>
      <c r="DI120" s="198"/>
      <c r="DJ120" s="198"/>
      <c r="DV120" s="198"/>
      <c r="DW120" s="198"/>
      <c r="EI120" s="198"/>
      <c r="EJ120" s="198"/>
      <c r="EV120" s="198"/>
      <c r="EW120" s="198"/>
    </row>
    <row r="121" spans="4:153">
      <c r="D121" s="198"/>
      <c r="H121" s="198"/>
      <c r="I121" s="198"/>
      <c r="J121" s="198"/>
      <c r="P121" s="198"/>
      <c r="V121" s="198"/>
      <c r="W121" s="198"/>
      <c r="Y121" s="198"/>
      <c r="Z121" s="198"/>
      <c r="AC121" s="262"/>
      <c r="AD121" s="262"/>
      <c r="AE121" s="262"/>
      <c r="AF121" s="262"/>
      <c r="AG121" s="262"/>
      <c r="AH121" s="262"/>
      <c r="AJ121" s="265"/>
      <c r="AK121" s="262"/>
      <c r="AL121" s="262"/>
      <c r="AM121" s="262"/>
      <c r="AN121" s="262"/>
      <c r="AO121" s="262"/>
      <c r="AP121" s="262"/>
      <c r="AV121" s="198"/>
      <c r="AW121" s="198"/>
      <c r="BA121" s="198"/>
      <c r="BI121" s="198"/>
      <c r="BJ121" s="198"/>
      <c r="BK121" s="198"/>
      <c r="BQ121" s="198"/>
      <c r="BV121" s="198"/>
      <c r="BW121" s="198"/>
      <c r="BX121" s="198"/>
      <c r="CD121" s="198"/>
      <c r="CI121" s="198"/>
      <c r="CJ121" s="198"/>
      <c r="CP121" s="198"/>
      <c r="CV121" s="198"/>
      <c r="CW121" s="198"/>
      <c r="DI121" s="198"/>
      <c r="DJ121" s="198"/>
      <c r="DV121" s="198"/>
      <c r="DW121" s="198"/>
      <c r="EI121" s="198"/>
      <c r="EJ121" s="198"/>
      <c r="EV121" s="198"/>
      <c r="EW121" s="198"/>
    </row>
    <row r="122" spans="4:153">
      <c r="D122" s="198"/>
      <c r="H122" s="198"/>
      <c r="I122" s="198"/>
      <c r="J122" s="198"/>
      <c r="P122" s="198"/>
      <c r="V122" s="198"/>
      <c r="W122" s="198"/>
      <c r="Y122" s="198"/>
      <c r="Z122" s="198"/>
      <c r="AC122" s="262"/>
      <c r="AD122" s="262"/>
      <c r="AE122" s="262"/>
      <c r="AF122" s="262"/>
      <c r="AG122" s="262"/>
      <c r="AH122" s="262"/>
      <c r="AJ122" s="265"/>
      <c r="AK122" s="262"/>
      <c r="AL122" s="262"/>
      <c r="AM122" s="262"/>
      <c r="AN122" s="262"/>
      <c r="AO122" s="262"/>
      <c r="AP122" s="262"/>
      <c r="AV122" s="198"/>
      <c r="AW122" s="198"/>
      <c r="BA122" s="198"/>
      <c r="BI122" s="198"/>
      <c r="BJ122" s="198"/>
      <c r="BK122" s="198"/>
      <c r="BQ122" s="198"/>
      <c r="BV122" s="198"/>
      <c r="BW122" s="198"/>
      <c r="BX122" s="198"/>
      <c r="CD122" s="198"/>
      <c r="CI122" s="198"/>
      <c r="CJ122" s="198"/>
      <c r="CP122" s="198"/>
      <c r="CV122" s="198"/>
      <c r="CW122" s="198"/>
      <c r="DI122" s="198"/>
      <c r="DJ122" s="198"/>
      <c r="DV122" s="198"/>
      <c r="DW122" s="198"/>
      <c r="EI122" s="198"/>
      <c r="EJ122" s="198"/>
      <c r="EV122" s="198"/>
      <c r="EW122" s="198"/>
    </row>
    <row r="123" spans="4:153">
      <c r="D123" s="198"/>
      <c r="H123" s="198"/>
      <c r="I123" s="198"/>
      <c r="J123" s="198"/>
      <c r="P123" s="198"/>
      <c r="V123" s="198"/>
      <c r="W123" s="198"/>
      <c r="Y123" s="198"/>
      <c r="Z123" s="198"/>
      <c r="AC123" s="262"/>
      <c r="AD123" s="262"/>
      <c r="AE123" s="262"/>
      <c r="AF123" s="262"/>
      <c r="AG123" s="262"/>
      <c r="AH123" s="262"/>
      <c r="AJ123" s="265"/>
      <c r="AK123" s="262"/>
      <c r="AL123" s="262"/>
      <c r="AM123" s="262"/>
      <c r="AN123" s="262"/>
      <c r="AO123" s="262"/>
      <c r="AP123" s="262"/>
      <c r="AV123" s="198"/>
      <c r="AW123" s="198"/>
      <c r="BA123" s="198"/>
      <c r="BI123" s="198"/>
      <c r="BJ123" s="198"/>
      <c r="BK123" s="198"/>
      <c r="BQ123" s="198"/>
      <c r="BV123" s="198"/>
      <c r="BW123" s="198"/>
      <c r="BX123" s="198"/>
      <c r="CD123" s="198"/>
      <c r="CI123" s="198"/>
      <c r="CJ123" s="198"/>
      <c r="CP123" s="198"/>
      <c r="CV123" s="198"/>
      <c r="CW123" s="198"/>
      <c r="DI123" s="198"/>
      <c r="DJ123" s="198"/>
      <c r="DV123" s="198"/>
      <c r="DW123" s="198"/>
      <c r="EI123" s="198"/>
      <c r="EJ123" s="198"/>
      <c r="EV123" s="198"/>
      <c r="EW123" s="198"/>
    </row>
    <row r="124" spans="4:153">
      <c r="D124" s="198"/>
      <c r="H124" s="198"/>
      <c r="I124" s="198"/>
      <c r="J124" s="198"/>
      <c r="P124" s="198"/>
      <c r="V124" s="198"/>
      <c r="W124" s="198"/>
      <c r="Y124" s="198"/>
      <c r="Z124" s="198"/>
      <c r="AC124" s="262"/>
      <c r="AD124" s="262"/>
      <c r="AE124" s="262"/>
      <c r="AF124" s="262"/>
      <c r="AG124" s="262"/>
      <c r="AH124" s="262"/>
      <c r="AJ124" s="265"/>
      <c r="AK124" s="262"/>
      <c r="AL124" s="262"/>
      <c r="AM124" s="262"/>
      <c r="AN124" s="262"/>
      <c r="AO124" s="262"/>
      <c r="AP124" s="262"/>
      <c r="AV124" s="198"/>
      <c r="AW124" s="198"/>
      <c r="BA124" s="198"/>
      <c r="BI124" s="198"/>
      <c r="BJ124" s="198"/>
      <c r="BK124" s="198"/>
      <c r="BQ124" s="198"/>
      <c r="BV124" s="198"/>
      <c r="BW124" s="198"/>
      <c r="BX124" s="198"/>
      <c r="CD124" s="198"/>
      <c r="CI124" s="198"/>
      <c r="CJ124" s="198"/>
      <c r="CP124" s="198"/>
      <c r="CV124" s="198"/>
      <c r="CW124" s="198"/>
      <c r="DI124" s="198"/>
      <c r="DJ124" s="198"/>
      <c r="DV124" s="198"/>
      <c r="DW124" s="198"/>
      <c r="EI124" s="198"/>
      <c r="EJ124" s="198"/>
      <c r="EV124" s="198"/>
      <c r="EW124" s="198"/>
    </row>
    <row r="125" spans="4:153">
      <c r="D125" s="198"/>
      <c r="H125" s="198"/>
      <c r="I125" s="198"/>
      <c r="J125" s="198"/>
      <c r="P125" s="198"/>
      <c r="V125" s="198"/>
      <c r="W125" s="198"/>
      <c r="Y125" s="198"/>
      <c r="Z125" s="198"/>
      <c r="AC125" s="262"/>
      <c r="AD125" s="262"/>
      <c r="AE125" s="262"/>
      <c r="AF125" s="262"/>
      <c r="AG125" s="262"/>
      <c r="AH125" s="262"/>
      <c r="AJ125" s="265"/>
      <c r="AK125" s="262"/>
      <c r="AL125" s="262"/>
      <c r="AM125" s="262"/>
      <c r="AN125" s="262"/>
      <c r="AO125" s="262"/>
      <c r="AP125" s="262"/>
      <c r="AV125" s="198"/>
      <c r="AW125" s="198"/>
      <c r="BA125" s="198"/>
      <c r="BI125" s="198"/>
      <c r="BJ125" s="198"/>
      <c r="BK125" s="198"/>
      <c r="BQ125" s="198"/>
      <c r="BV125" s="198"/>
      <c r="BW125" s="198"/>
      <c r="BX125" s="198"/>
      <c r="CD125" s="198"/>
      <c r="CI125" s="198"/>
      <c r="CJ125" s="198"/>
      <c r="CP125" s="198"/>
      <c r="CV125" s="198"/>
      <c r="CW125" s="198"/>
      <c r="DI125" s="198"/>
      <c r="DJ125" s="198"/>
      <c r="DV125" s="198"/>
      <c r="DW125" s="198"/>
      <c r="EI125" s="198"/>
      <c r="EJ125" s="198"/>
      <c r="EV125" s="198"/>
      <c r="EW125" s="198"/>
    </row>
    <row r="126" spans="4:153">
      <c r="D126" s="198"/>
      <c r="H126" s="198"/>
      <c r="I126" s="198"/>
      <c r="J126" s="198"/>
      <c r="P126" s="198"/>
      <c r="V126" s="198"/>
      <c r="W126" s="198"/>
      <c r="Y126" s="198"/>
      <c r="Z126" s="198"/>
      <c r="AC126" s="262"/>
      <c r="AD126" s="262"/>
      <c r="AE126" s="262"/>
      <c r="AF126" s="262"/>
      <c r="AG126" s="262"/>
      <c r="AH126" s="262"/>
      <c r="AJ126" s="265"/>
      <c r="AK126" s="262"/>
      <c r="AL126" s="262"/>
      <c r="AM126" s="262"/>
      <c r="AN126" s="262"/>
      <c r="AO126" s="262"/>
      <c r="AP126" s="262"/>
      <c r="AV126" s="198"/>
      <c r="AW126" s="198"/>
      <c r="BA126" s="198"/>
      <c r="BI126" s="198"/>
      <c r="BJ126" s="198"/>
      <c r="BK126" s="198"/>
      <c r="BQ126" s="198"/>
      <c r="BV126" s="198"/>
      <c r="BW126" s="198"/>
      <c r="BX126" s="198"/>
      <c r="CD126" s="198"/>
      <c r="CI126" s="198"/>
      <c r="CJ126" s="198"/>
      <c r="CP126" s="198"/>
      <c r="CV126" s="198"/>
      <c r="CW126" s="198"/>
      <c r="DI126" s="198"/>
      <c r="DJ126" s="198"/>
      <c r="DV126" s="198"/>
      <c r="DW126" s="198"/>
      <c r="EI126" s="198"/>
      <c r="EJ126" s="198"/>
      <c r="EV126" s="198"/>
      <c r="EW126" s="198"/>
    </row>
    <row r="127" spans="4:153">
      <c r="D127" s="198"/>
      <c r="H127" s="198"/>
      <c r="I127" s="198"/>
      <c r="J127" s="198"/>
      <c r="P127" s="198"/>
      <c r="V127" s="198"/>
      <c r="W127" s="198"/>
      <c r="Y127" s="198"/>
      <c r="Z127" s="198"/>
      <c r="AC127" s="262"/>
      <c r="AD127" s="262"/>
      <c r="AE127" s="262"/>
      <c r="AF127" s="262"/>
      <c r="AG127" s="262"/>
      <c r="AH127" s="262"/>
      <c r="AJ127" s="265"/>
      <c r="AK127" s="262"/>
      <c r="AL127" s="262"/>
      <c r="AM127" s="262"/>
      <c r="AN127" s="262"/>
      <c r="AO127" s="262"/>
      <c r="AP127" s="262"/>
      <c r="AV127" s="198"/>
      <c r="AW127" s="198"/>
      <c r="BA127" s="198"/>
      <c r="BI127" s="198"/>
      <c r="BJ127" s="198"/>
      <c r="BK127" s="198"/>
      <c r="BQ127" s="198"/>
      <c r="BV127" s="198"/>
      <c r="BW127" s="198"/>
      <c r="BX127" s="198"/>
      <c r="CD127" s="198"/>
      <c r="CI127" s="198"/>
      <c r="CJ127" s="198"/>
      <c r="CP127" s="198"/>
      <c r="CV127" s="198"/>
      <c r="CW127" s="198"/>
      <c r="DI127" s="198"/>
      <c r="DJ127" s="198"/>
      <c r="DV127" s="198"/>
      <c r="DW127" s="198"/>
      <c r="EI127" s="198"/>
      <c r="EJ127" s="198"/>
      <c r="EV127" s="198"/>
      <c r="EW127" s="198"/>
    </row>
    <row r="128" spans="4:153">
      <c r="D128" s="198"/>
      <c r="H128" s="198"/>
      <c r="I128" s="198"/>
      <c r="J128" s="198"/>
      <c r="P128" s="198"/>
      <c r="V128" s="198"/>
      <c r="W128" s="198"/>
      <c r="Y128" s="198"/>
      <c r="Z128" s="198"/>
      <c r="AC128" s="262"/>
      <c r="AD128" s="262"/>
      <c r="AE128" s="262"/>
      <c r="AF128" s="262"/>
      <c r="AG128" s="262"/>
      <c r="AH128" s="262"/>
      <c r="AJ128" s="265"/>
      <c r="AK128" s="262"/>
      <c r="AL128" s="262"/>
      <c r="AM128" s="262"/>
      <c r="AN128" s="262"/>
      <c r="AO128" s="262"/>
      <c r="AP128" s="262"/>
      <c r="AV128" s="198"/>
      <c r="AW128" s="198"/>
      <c r="BA128" s="198"/>
      <c r="BI128" s="198"/>
      <c r="BJ128" s="198"/>
      <c r="BK128" s="198"/>
      <c r="BQ128" s="198"/>
      <c r="BV128" s="198"/>
      <c r="BW128" s="198"/>
      <c r="BX128" s="198"/>
      <c r="CD128" s="198"/>
      <c r="CI128" s="198"/>
      <c r="CJ128" s="198"/>
      <c r="CP128" s="198"/>
      <c r="CV128" s="198"/>
      <c r="CW128" s="198"/>
      <c r="DI128" s="198"/>
      <c r="DJ128" s="198"/>
      <c r="DV128" s="198"/>
      <c r="DW128" s="198"/>
      <c r="EI128" s="198"/>
      <c r="EJ128" s="198"/>
      <c r="EV128" s="198"/>
      <c r="EW128" s="198"/>
    </row>
    <row r="129" spans="4:153">
      <c r="D129" s="198"/>
      <c r="H129" s="198"/>
      <c r="I129" s="198"/>
      <c r="J129" s="198"/>
      <c r="P129" s="198"/>
      <c r="V129" s="198"/>
      <c r="W129" s="198"/>
      <c r="Y129" s="198"/>
      <c r="Z129" s="198"/>
      <c r="AC129" s="262"/>
      <c r="AD129" s="262"/>
      <c r="AE129" s="262"/>
      <c r="AF129" s="262"/>
      <c r="AG129" s="262"/>
      <c r="AH129" s="262"/>
      <c r="AJ129" s="265"/>
      <c r="AK129" s="262"/>
      <c r="AL129" s="262"/>
      <c r="AM129" s="262"/>
      <c r="AN129" s="262"/>
      <c r="AO129" s="262"/>
      <c r="AP129" s="262"/>
      <c r="AV129" s="198"/>
      <c r="AW129" s="198"/>
      <c r="BA129" s="198"/>
      <c r="BI129" s="198"/>
      <c r="BJ129" s="198"/>
      <c r="BK129" s="198"/>
      <c r="BQ129" s="198"/>
      <c r="BV129" s="198"/>
      <c r="BW129" s="198"/>
      <c r="BX129" s="198"/>
      <c r="CD129" s="198"/>
      <c r="CI129" s="198"/>
      <c r="CJ129" s="198"/>
      <c r="CP129" s="198"/>
      <c r="CV129" s="198"/>
      <c r="CW129" s="198"/>
      <c r="DI129" s="198"/>
      <c r="DJ129" s="198"/>
      <c r="DV129" s="198"/>
      <c r="DW129" s="198"/>
      <c r="EI129" s="198"/>
      <c r="EJ129" s="198"/>
      <c r="EV129" s="198"/>
      <c r="EW129" s="198"/>
    </row>
    <row r="130" spans="4:153">
      <c r="D130" s="198"/>
      <c r="H130" s="198"/>
      <c r="I130" s="198"/>
      <c r="J130" s="198"/>
      <c r="P130" s="198"/>
      <c r="V130" s="198"/>
      <c r="W130" s="198"/>
      <c r="Y130" s="198"/>
      <c r="Z130" s="198"/>
      <c r="AC130" s="262"/>
      <c r="AD130" s="262"/>
      <c r="AE130" s="262"/>
      <c r="AF130" s="262"/>
      <c r="AG130" s="262"/>
      <c r="AH130" s="262"/>
      <c r="AJ130" s="265"/>
      <c r="AK130" s="262"/>
      <c r="AL130" s="262"/>
      <c r="AM130" s="262"/>
      <c r="AN130" s="262"/>
      <c r="AO130" s="262"/>
      <c r="AP130" s="262"/>
      <c r="AV130" s="198"/>
      <c r="AW130" s="198"/>
      <c r="BA130" s="198"/>
      <c r="BI130" s="198"/>
      <c r="BJ130" s="198"/>
      <c r="BK130" s="198"/>
      <c r="BQ130" s="198"/>
      <c r="BV130" s="198"/>
      <c r="BW130" s="198"/>
      <c r="BX130" s="198"/>
      <c r="CD130" s="198"/>
      <c r="CI130" s="198"/>
      <c r="CJ130" s="198"/>
      <c r="CP130" s="198"/>
      <c r="CV130" s="198"/>
      <c r="CW130" s="198"/>
      <c r="DI130" s="198"/>
      <c r="DJ130" s="198"/>
      <c r="DV130" s="198"/>
      <c r="DW130" s="198"/>
      <c r="EI130" s="198"/>
      <c r="EJ130" s="198"/>
      <c r="EV130" s="198"/>
      <c r="EW130" s="198"/>
    </row>
    <row r="131" spans="4:153">
      <c r="D131" s="198"/>
      <c r="H131" s="198"/>
      <c r="I131" s="198"/>
      <c r="J131" s="198"/>
      <c r="P131" s="198"/>
      <c r="V131" s="198"/>
      <c r="W131" s="198"/>
      <c r="Y131" s="198"/>
      <c r="Z131" s="198"/>
      <c r="AC131" s="262"/>
      <c r="AD131" s="262"/>
      <c r="AE131" s="262"/>
      <c r="AF131" s="262"/>
      <c r="AG131" s="262"/>
      <c r="AH131" s="262"/>
      <c r="AJ131" s="265"/>
      <c r="AK131" s="262"/>
      <c r="AL131" s="262"/>
      <c r="AM131" s="262"/>
      <c r="AN131" s="262"/>
      <c r="AO131" s="262"/>
      <c r="AP131" s="262"/>
      <c r="AV131" s="198"/>
      <c r="AW131" s="198"/>
      <c r="BA131" s="198"/>
      <c r="BI131" s="198"/>
      <c r="BJ131" s="198"/>
      <c r="BK131" s="198"/>
      <c r="BQ131" s="198"/>
      <c r="BV131" s="198"/>
      <c r="BW131" s="198"/>
      <c r="BX131" s="198"/>
      <c r="CD131" s="198"/>
      <c r="CI131" s="198"/>
      <c r="CJ131" s="198"/>
      <c r="CP131" s="198"/>
      <c r="CV131" s="198"/>
      <c r="CW131" s="198"/>
      <c r="DI131" s="198"/>
      <c r="DJ131" s="198"/>
      <c r="DV131" s="198"/>
      <c r="DW131" s="198"/>
      <c r="EI131" s="198"/>
      <c r="EJ131" s="198"/>
      <c r="EV131" s="198"/>
      <c r="EW131" s="198"/>
    </row>
    <row r="132" spans="4:153">
      <c r="D132" s="198"/>
      <c r="H132" s="198"/>
      <c r="I132" s="198"/>
      <c r="J132" s="198"/>
      <c r="P132" s="198"/>
      <c r="V132" s="198"/>
      <c r="W132" s="198"/>
      <c r="Y132" s="198"/>
      <c r="Z132" s="198"/>
      <c r="AC132" s="262"/>
      <c r="AD132" s="262"/>
      <c r="AE132" s="262"/>
      <c r="AF132" s="262"/>
      <c r="AG132" s="262"/>
      <c r="AH132" s="262"/>
      <c r="AJ132" s="265"/>
      <c r="AK132" s="262"/>
      <c r="AL132" s="262"/>
      <c r="AM132" s="262"/>
      <c r="AN132" s="262"/>
      <c r="AO132" s="262"/>
      <c r="AP132" s="262"/>
      <c r="AV132" s="198"/>
      <c r="AW132" s="198"/>
      <c r="BA132" s="198"/>
      <c r="BI132" s="198"/>
      <c r="BJ132" s="198"/>
      <c r="BK132" s="198"/>
      <c r="BQ132" s="198"/>
      <c r="BV132" s="198"/>
      <c r="BW132" s="198"/>
      <c r="BX132" s="198"/>
      <c r="CD132" s="198"/>
      <c r="CI132" s="198"/>
      <c r="CJ132" s="198"/>
      <c r="CP132" s="198"/>
      <c r="CV132" s="198"/>
      <c r="CW132" s="198"/>
      <c r="DI132" s="198"/>
      <c r="DJ132" s="198"/>
      <c r="DV132" s="198"/>
      <c r="DW132" s="198"/>
      <c r="EI132" s="198"/>
      <c r="EJ132" s="198"/>
      <c r="EV132" s="198"/>
      <c r="EW132" s="198"/>
    </row>
    <row r="133" spans="4:153">
      <c r="D133" s="198"/>
      <c r="H133" s="198"/>
      <c r="I133" s="198"/>
      <c r="J133" s="198"/>
      <c r="P133" s="198"/>
      <c r="V133" s="198"/>
      <c r="W133" s="198"/>
      <c r="Y133" s="198"/>
      <c r="Z133" s="198"/>
      <c r="AC133" s="262"/>
      <c r="AD133" s="262"/>
      <c r="AE133" s="262"/>
      <c r="AF133" s="262"/>
      <c r="AG133" s="262"/>
      <c r="AH133" s="262"/>
      <c r="AJ133" s="265"/>
      <c r="AK133" s="262"/>
      <c r="AL133" s="262"/>
      <c r="AM133" s="262"/>
      <c r="AN133" s="262"/>
      <c r="AO133" s="262"/>
      <c r="AP133" s="262"/>
      <c r="AV133" s="198"/>
      <c r="AW133" s="198"/>
      <c r="BA133" s="198"/>
      <c r="BI133" s="198"/>
      <c r="BJ133" s="198"/>
      <c r="BK133" s="198"/>
      <c r="BQ133" s="198"/>
      <c r="BV133" s="198"/>
      <c r="BW133" s="198"/>
      <c r="BX133" s="198"/>
      <c r="CD133" s="198"/>
      <c r="CI133" s="198"/>
      <c r="CJ133" s="198"/>
      <c r="CP133" s="198"/>
      <c r="CV133" s="198"/>
      <c r="CW133" s="198"/>
      <c r="DI133" s="198"/>
      <c r="DJ133" s="198"/>
      <c r="DV133" s="198"/>
      <c r="DW133" s="198"/>
      <c r="EI133" s="198"/>
      <c r="EJ133" s="198"/>
      <c r="EV133" s="198"/>
      <c r="EW133" s="198"/>
    </row>
    <row r="134" spans="4:153">
      <c r="D134" s="198"/>
      <c r="H134" s="198"/>
      <c r="I134" s="198"/>
      <c r="J134" s="198"/>
      <c r="P134" s="198"/>
      <c r="V134" s="198"/>
      <c r="W134" s="198"/>
      <c r="Y134" s="198"/>
      <c r="Z134" s="198"/>
      <c r="AC134" s="262"/>
      <c r="AD134" s="262"/>
      <c r="AE134" s="262"/>
      <c r="AF134" s="262"/>
      <c r="AG134" s="262"/>
      <c r="AH134" s="262"/>
      <c r="AJ134" s="265"/>
      <c r="AK134" s="262"/>
      <c r="AL134" s="262"/>
      <c r="AM134" s="262"/>
      <c r="AN134" s="262"/>
      <c r="AO134" s="262"/>
      <c r="AP134" s="262"/>
      <c r="AV134" s="198"/>
      <c r="AW134" s="198"/>
      <c r="BA134" s="198"/>
      <c r="BI134" s="198"/>
      <c r="BJ134" s="198"/>
      <c r="BK134" s="198"/>
      <c r="BQ134" s="198"/>
      <c r="BV134" s="198"/>
      <c r="BW134" s="198"/>
      <c r="BX134" s="198"/>
      <c r="CD134" s="198"/>
      <c r="CI134" s="198"/>
      <c r="CJ134" s="198"/>
      <c r="CP134" s="198"/>
      <c r="CV134" s="198"/>
      <c r="CW134" s="198"/>
      <c r="DI134" s="198"/>
      <c r="DJ134" s="198"/>
      <c r="DV134" s="198"/>
      <c r="DW134" s="198"/>
      <c r="EI134" s="198"/>
      <c r="EJ134" s="198"/>
      <c r="EV134" s="198"/>
      <c r="EW134" s="198"/>
    </row>
    <row r="135" spans="4:153">
      <c r="D135" s="198"/>
      <c r="H135" s="198"/>
      <c r="I135" s="198"/>
      <c r="J135" s="198"/>
      <c r="P135" s="198"/>
      <c r="V135" s="198"/>
      <c r="W135" s="198"/>
      <c r="Y135" s="198"/>
      <c r="Z135" s="198"/>
      <c r="AC135" s="262"/>
      <c r="AD135" s="262"/>
      <c r="AE135" s="262"/>
      <c r="AF135" s="262"/>
      <c r="AG135" s="262"/>
      <c r="AH135" s="262"/>
      <c r="AJ135" s="265"/>
      <c r="AK135" s="262"/>
      <c r="AL135" s="262"/>
      <c r="AM135" s="262"/>
      <c r="AN135" s="262"/>
      <c r="AO135" s="262"/>
      <c r="AP135" s="262"/>
      <c r="AV135" s="198"/>
      <c r="AW135" s="198"/>
      <c r="BA135" s="198"/>
      <c r="BI135" s="198"/>
      <c r="BJ135" s="198"/>
      <c r="BK135" s="198"/>
      <c r="BQ135" s="198"/>
      <c r="BV135" s="198"/>
      <c r="BW135" s="198"/>
      <c r="BX135" s="198"/>
      <c r="CD135" s="198"/>
      <c r="CI135" s="198"/>
      <c r="CJ135" s="198"/>
      <c r="CP135" s="198"/>
      <c r="CV135" s="198"/>
      <c r="CW135" s="198"/>
      <c r="DI135" s="198"/>
      <c r="DJ135" s="198"/>
      <c r="DV135" s="198"/>
      <c r="DW135" s="198"/>
      <c r="EI135" s="198"/>
      <c r="EJ135" s="198"/>
      <c r="EV135" s="198"/>
      <c r="EW135" s="198"/>
    </row>
    <row r="136" spans="4:153">
      <c r="D136" s="198"/>
      <c r="H136" s="198"/>
      <c r="I136" s="198"/>
      <c r="J136" s="198"/>
      <c r="P136" s="198"/>
      <c r="V136" s="198"/>
      <c r="W136" s="198"/>
      <c r="Y136" s="198"/>
      <c r="Z136" s="198"/>
      <c r="AC136" s="262"/>
      <c r="AD136" s="262"/>
      <c r="AE136" s="262"/>
      <c r="AF136" s="262"/>
      <c r="AG136" s="262"/>
      <c r="AH136" s="262"/>
      <c r="AJ136" s="265"/>
      <c r="AK136" s="262"/>
      <c r="AL136" s="262"/>
      <c r="AM136" s="262"/>
      <c r="AN136" s="262"/>
      <c r="AO136" s="262"/>
      <c r="AP136" s="262"/>
      <c r="AV136" s="198"/>
      <c r="AW136" s="198"/>
      <c r="BA136" s="198"/>
      <c r="BI136" s="198"/>
      <c r="BJ136" s="198"/>
      <c r="BK136" s="198"/>
      <c r="BQ136" s="198"/>
      <c r="BV136" s="198"/>
      <c r="BW136" s="198"/>
      <c r="BX136" s="198"/>
      <c r="CD136" s="198"/>
      <c r="CI136" s="198"/>
      <c r="CJ136" s="198"/>
      <c r="CP136" s="198"/>
      <c r="CV136" s="198"/>
      <c r="CW136" s="198"/>
      <c r="DI136" s="198"/>
      <c r="DJ136" s="198"/>
      <c r="DV136" s="198"/>
      <c r="DW136" s="198"/>
      <c r="EI136" s="198"/>
      <c r="EJ136" s="198"/>
      <c r="EV136" s="198"/>
      <c r="EW136" s="198"/>
    </row>
    <row r="137" spans="4:153">
      <c r="D137" s="198"/>
      <c r="H137" s="198"/>
      <c r="I137" s="198"/>
      <c r="J137" s="198"/>
      <c r="P137" s="198"/>
      <c r="V137" s="198"/>
      <c r="W137" s="198"/>
      <c r="Y137" s="198"/>
      <c r="Z137" s="198"/>
      <c r="AC137" s="262"/>
      <c r="AD137" s="262"/>
      <c r="AE137" s="262"/>
      <c r="AF137" s="262"/>
      <c r="AG137" s="262"/>
      <c r="AH137" s="262"/>
      <c r="AJ137" s="265"/>
      <c r="AK137" s="262"/>
      <c r="AL137" s="262"/>
      <c r="AM137" s="262"/>
      <c r="AN137" s="262"/>
      <c r="AO137" s="262"/>
      <c r="AP137" s="262"/>
      <c r="AV137" s="198"/>
      <c r="AW137" s="198"/>
      <c r="BA137" s="198"/>
      <c r="BI137" s="198"/>
      <c r="BJ137" s="198"/>
      <c r="BK137" s="198"/>
      <c r="BQ137" s="198"/>
      <c r="BV137" s="198"/>
      <c r="BW137" s="198"/>
      <c r="BX137" s="198"/>
      <c r="CD137" s="198"/>
      <c r="CI137" s="198"/>
      <c r="CJ137" s="198"/>
      <c r="CP137" s="198"/>
      <c r="CV137" s="198"/>
      <c r="CW137" s="198"/>
      <c r="DI137" s="198"/>
      <c r="DJ137" s="198"/>
      <c r="DV137" s="198"/>
      <c r="DW137" s="198"/>
      <c r="EI137" s="198"/>
      <c r="EJ137" s="198"/>
      <c r="EV137" s="198"/>
      <c r="EW137" s="198"/>
    </row>
    <row r="138" spans="4:153">
      <c r="D138" s="198"/>
      <c r="H138" s="198"/>
      <c r="I138" s="198"/>
      <c r="J138" s="198"/>
      <c r="P138" s="198"/>
      <c r="V138" s="198"/>
      <c r="W138" s="198"/>
      <c r="Y138" s="198"/>
      <c r="Z138" s="198"/>
      <c r="AC138" s="262"/>
      <c r="AD138" s="262"/>
      <c r="AE138" s="262"/>
      <c r="AF138" s="262"/>
      <c r="AG138" s="262"/>
      <c r="AH138" s="262"/>
      <c r="AJ138" s="265"/>
      <c r="AK138" s="262"/>
      <c r="AL138" s="262"/>
      <c r="AM138" s="262"/>
      <c r="AN138" s="262"/>
      <c r="AO138" s="262"/>
      <c r="AP138" s="262"/>
      <c r="AV138" s="198"/>
      <c r="AW138" s="198"/>
      <c r="BA138" s="198"/>
      <c r="BI138" s="198"/>
      <c r="BJ138" s="198"/>
      <c r="BK138" s="198"/>
      <c r="BQ138" s="198"/>
      <c r="BV138" s="198"/>
      <c r="BW138" s="198"/>
      <c r="BX138" s="198"/>
      <c r="CD138" s="198"/>
      <c r="CI138" s="198"/>
      <c r="CJ138" s="198"/>
      <c r="CP138" s="198"/>
      <c r="CV138" s="198"/>
      <c r="CW138" s="198"/>
      <c r="DI138" s="198"/>
      <c r="DJ138" s="198"/>
      <c r="DV138" s="198"/>
      <c r="DW138" s="198"/>
      <c r="EI138" s="198"/>
      <c r="EJ138" s="198"/>
      <c r="EV138" s="198"/>
      <c r="EW138" s="198"/>
    </row>
    <row r="139" spans="4:153">
      <c r="D139" s="198"/>
      <c r="H139" s="198"/>
      <c r="I139" s="198"/>
      <c r="J139" s="198"/>
      <c r="P139" s="198"/>
      <c r="V139" s="198"/>
      <c r="W139" s="198"/>
      <c r="Y139" s="198"/>
      <c r="Z139" s="198"/>
      <c r="AC139" s="262"/>
      <c r="AD139" s="262"/>
      <c r="AE139" s="262"/>
      <c r="AF139" s="262"/>
      <c r="AG139" s="262"/>
      <c r="AH139" s="262"/>
      <c r="AJ139" s="265"/>
      <c r="AK139" s="262"/>
      <c r="AL139" s="262"/>
      <c r="AM139" s="262"/>
      <c r="AN139" s="262"/>
      <c r="AO139" s="262"/>
      <c r="AP139" s="262"/>
      <c r="AV139" s="198"/>
      <c r="AW139" s="198"/>
      <c r="BA139" s="198"/>
      <c r="BI139" s="198"/>
      <c r="BJ139" s="198"/>
      <c r="BK139" s="198"/>
      <c r="BQ139" s="198"/>
      <c r="BV139" s="198"/>
      <c r="BW139" s="198"/>
      <c r="BX139" s="198"/>
      <c r="CD139" s="198"/>
      <c r="CI139" s="198"/>
      <c r="CJ139" s="198"/>
      <c r="CP139" s="198"/>
      <c r="CV139" s="198"/>
      <c r="CW139" s="198"/>
      <c r="DI139" s="198"/>
      <c r="DJ139" s="198"/>
      <c r="DV139" s="198"/>
      <c r="DW139" s="198"/>
      <c r="EI139" s="198"/>
      <c r="EJ139" s="198"/>
      <c r="EV139" s="198"/>
      <c r="EW139" s="198"/>
    </row>
    <row r="140" spans="4:153">
      <c r="D140" s="198"/>
      <c r="H140" s="198"/>
      <c r="I140" s="198"/>
      <c r="J140" s="198"/>
      <c r="P140" s="198"/>
      <c r="V140" s="198"/>
      <c r="W140" s="198"/>
      <c r="Y140" s="198"/>
      <c r="Z140" s="198"/>
      <c r="AC140" s="262"/>
      <c r="AD140" s="262"/>
      <c r="AE140" s="262"/>
      <c r="AF140" s="262"/>
      <c r="AG140" s="262"/>
      <c r="AH140" s="262"/>
      <c r="AJ140" s="265"/>
      <c r="AK140" s="262"/>
      <c r="AL140" s="262"/>
      <c r="AM140" s="262"/>
      <c r="AN140" s="262"/>
      <c r="AO140" s="262"/>
      <c r="AP140" s="262"/>
      <c r="AV140" s="198"/>
      <c r="AW140" s="198"/>
      <c r="BA140" s="198"/>
      <c r="BI140" s="198"/>
      <c r="BJ140" s="198"/>
      <c r="BK140" s="198"/>
      <c r="BQ140" s="198"/>
      <c r="BV140" s="198"/>
      <c r="BW140" s="198"/>
      <c r="BX140" s="198"/>
      <c r="CD140" s="198"/>
      <c r="CI140" s="198"/>
      <c r="CJ140" s="198"/>
      <c r="CP140" s="198"/>
      <c r="CV140" s="198"/>
      <c r="CW140" s="198"/>
      <c r="DI140" s="198"/>
      <c r="DJ140" s="198"/>
      <c r="DV140" s="198"/>
      <c r="DW140" s="198"/>
      <c r="EI140" s="198"/>
      <c r="EJ140" s="198"/>
      <c r="EV140" s="198"/>
      <c r="EW140" s="198"/>
    </row>
    <row r="141" spans="4:153">
      <c r="D141" s="198"/>
      <c r="H141" s="198"/>
      <c r="I141" s="198"/>
      <c r="J141" s="198"/>
      <c r="P141" s="198"/>
      <c r="V141" s="198"/>
      <c r="W141" s="198"/>
      <c r="Y141" s="198"/>
      <c r="Z141" s="198"/>
      <c r="AC141" s="262"/>
      <c r="AD141" s="262"/>
      <c r="AE141" s="262"/>
      <c r="AF141" s="262"/>
      <c r="AG141" s="262"/>
      <c r="AH141" s="262"/>
      <c r="AJ141" s="265"/>
      <c r="AK141" s="262"/>
      <c r="AL141" s="262"/>
      <c r="AM141" s="262"/>
      <c r="AN141" s="262"/>
      <c r="AO141" s="262"/>
      <c r="AP141" s="262"/>
      <c r="AV141" s="198"/>
      <c r="AW141" s="198"/>
      <c r="BA141" s="198"/>
      <c r="BI141" s="198"/>
      <c r="BJ141" s="198"/>
      <c r="BK141" s="198"/>
      <c r="BQ141" s="198"/>
      <c r="BV141" s="198"/>
      <c r="BW141" s="198"/>
      <c r="BX141" s="198"/>
      <c r="CD141" s="198"/>
      <c r="CI141" s="198"/>
      <c r="CJ141" s="198"/>
      <c r="CP141" s="198"/>
      <c r="CV141" s="198"/>
      <c r="CW141" s="198"/>
      <c r="DI141" s="198"/>
      <c r="DJ141" s="198"/>
      <c r="DV141" s="198"/>
      <c r="DW141" s="198"/>
      <c r="EI141" s="198"/>
      <c r="EJ141" s="198"/>
      <c r="EV141" s="198"/>
      <c r="EW141" s="198"/>
    </row>
    <row r="142" spans="4:153">
      <c r="D142" s="198"/>
      <c r="H142" s="198"/>
      <c r="I142" s="198"/>
      <c r="J142" s="198"/>
      <c r="P142" s="198"/>
      <c r="V142" s="198"/>
      <c r="W142" s="198"/>
      <c r="Y142" s="198"/>
      <c r="Z142" s="198"/>
      <c r="AC142" s="262"/>
      <c r="AD142" s="262"/>
      <c r="AE142" s="262"/>
      <c r="AF142" s="262"/>
      <c r="AG142" s="262"/>
      <c r="AH142" s="262"/>
      <c r="AJ142" s="265"/>
      <c r="AK142" s="262"/>
      <c r="AL142" s="262"/>
      <c r="AM142" s="262"/>
      <c r="AN142" s="262"/>
      <c r="AO142" s="262"/>
      <c r="AP142" s="262"/>
      <c r="AV142" s="198"/>
      <c r="AW142" s="198"/>
      <c r="BA142" s="198"/>
      <c r="BI142" s="198"/>
      <c r="BJ142" s="198"/>
      <c r="BK142" s="198"/>
      <c r="BQ142" s="198"/>
      <c r="BV142" s="198"/>
      <c r="BW142" s="198"/>
      <c r="BX142" s="198"/>
      <c r="CD142" s="198"/>
      <c r="CI142" s="198"/>
      <c r="CJ142" s="198"/>
      <c r="CP142" s="198"/>
      <c r="CV142" s="198"/>
      <c r="CW142" s="198"/>
      <c r="DI142" s="198"/>
      <c r="DJ142" s="198"/>
      <c r="DV142" s="198"/>
      <c r="DW142" s="198"/>
      <c r="EI142" s="198"/>
      <c r="EJ142" s="198"/>
      <c r="EV142" s="198"/>
      <c r="EW142" s="198"/>
    </row>
    <row r="143" spans="4:153">
      <c r="D143" s="198"/>
      <c r="H143" s="198"/>
      <c r="I143" s="198"/>
      <c r="J143" s="198"/>
      <c r="P143" s="198"/>
      <c r="V143" s="198"/>
      <c r="W143" s="198"/>
      <c r="Y143" s="198"/>
      <c r="Z143" s="198"/>
      <c r="AC143" s="262"/>
      <c r="AD143" s="262"/>
      <c r="AE143" s="262"/>
      <c r="AF143" s="262"/>
      <c r="AG143" s="262"/>
      <c r="AH143" s="262"/>
      <c r="AJ143" s="265"/>
      <c r="AK143" s="262"/>
      <c r="AL143" s="262"/>
      <c r="AM143" s="262"/>
      <c r="AN143" s="262"/>
      <c r="AO143" s="262"/>
      <c r="AP143" s="262"/>
      <c r="AV143" s="198"/>
      <c r="AW143" s="198"/>
      <c r="BA143" s="198"/>
      <c r="BI143" s="198"/>
      <c r="BJ143" s="198"/>
      <c r="BK143" s="198"/>
      <c r="BQ143" s="198"/>
      <c r="BV143" s="198"/>
      <c r="BW143" s="198"/>
      <c r="BX143" s="198"/>
      <c r="CD143" s="198"/>
      <c r="CI143" s="198"/>
      <c r="CJ143" s="198"/>
      <c r="CP143" s="198"/>
      <c r="CV143" s="198"/>
      <c r="CW143" s="198"/>
      <c r="DI143" s="198"/>
      <c r="DJ143" s="198"/>
      <c r="DV143" s="198"/>
      <c r="DW143" s="198"/>
      <c r="EI143" s="198"/>
      <c r="EJ143" s="198"/>
      <c r="EV143" s="198"/>
      <c r="EW143" s="198"/>
    </row>
    <row r="144" spans="4:153">
      <c r="D144" s="198"/>
      <c r="H144" s="198"/>
      <c r="I144" s="198"/>
      <c r="J144" s="198"/>
      <c r="P144" s="198"/>
      <c r="V144" s="198"/>
      <c r="W144" s="198"/>
      <c r="Y144" s="198"/>
      <c r="Z144" s="198"/>
      <c r="AC144" s="262"/>
      <c r="AD144" s="262"/>
      <c r="AE144" s="262"/>
      <c r="AF144" s="262"/>
      <c r="AG144" s="262"/>
      <c r="AH144" s="262"/>
      <c r="AJ144" s="265"/>
      <c r="AK144" s="262"/>
      <c r="AL144" s="262"/>
      <c r="AM144" s="262"/>
      <c r="AN144" s="262"/>
      <c r="AO144" s="262"/>
      <c r="AP144" s="262"/>
      <c r="AV144" s="198"/>
      <c r="AW144" s="198"/>
      <c r="BA144" s="198"/>
      <c r="BI144" s="198"/>
      <c r="BJ144" s="198"/>
      <c r="BK144" s="198"/>
      <c r="BQ144" s="198"/>
      <c r="BV144" s="198"/>
      <c r="BW144" s="198"/>
      <c r="BX144" s="198"/>
      <c r="CD144" s="198"/>
      <c r="CI144" s="198"/>
      <c r="CJ144" s="198"/>
      <c r="CP144" s="198"/>
      <c r="CV144" s="198"/>
      <c r="CW144" s="198"/>
      <c r="DI144" s="198"/>
      <c r="DJ144" s="198"/>
      <c r="DV144" s="198"/>
      <c r="DW144" s="198"/>
      <c r="EI144" s="198"/>
      <c r="EJ144" s="198"/>
      <c r="EV144" s="198"/>
      <c r="EW144" s="198"/>
    </row>
    <row r="145" spans="4:153">
      <c r="D145" s="198"/>
      <c r="H145" s="198"/>
      <c r="I145" s="198"/>
      <c r="J145" s="198"/>
      <c r="P145" s="198"/>
      <c r="V145" s="198"/>
      <c r="W145" s="198"/>
      <c r="Y145" s="198"/>
      <c r="Z145" s="198"/>
      <c r="AC145" s="262"/>
      <c r="AD145" s="262"/>
      <c r="AE145" s="262"/>
      <c r="AF145" s="262"/>
      <c r="AG145" s="262"/>
      <c r="AH145" s="262"/>
      <c r="AJ145" s="265"/>
      <c r="AK145" s="262"/>
      <c r="AL145" s="262"/>
      <c r="AM145" s="262"/>
      <c r="AN145" s="262"/>
      <c r="AO145" s="262"/>
      <c r="AP145" s="262"/>
      <c r="AV145" s="198"/>
      <c r="AW145" s="198"/>
      <c r="BA145" s="198"/>
      <c r="BI145" s="198"/>
      <c r="BJ145" s="198"/>
      <c r="BK145" s="198"/>
      <c r="BQ145" s="198"/>
      <c r="BV145" s="198"/>
      <c r="BW145" s="198"/>
      <c r="BX145" s="198"/>
      <c r="CD145" s="198"/>
      <c r="CI145" s="198"/>
      <c r="CJ145" s="198"/>
      <c r="CP145" s="198"/>
      <c r="CV145" s="198"/>
      <c r="CW145" s="198"/>
      <c r="DI145" s="198"/>
      <c r="DJ145" s="198"/>
      <c r="DV145" s="198"/>
      <c r="DW145" s="198"/>
      <c r="EI145" s="198"/>
      <c r="EJ145" s="198"/>
      <c r="EV145" s="198"/>
      <c r="EW145" s="198"/>
    </row>
    <row r="146" spans="4:153">
      <c r="D146" s="198"/>
      <c r="H146" s="198"/>
      <c r="I146" s="198"/>
      <c r="J146" s="198"/>
      <c r="P146" s="198"/>
      <c r="V146" s="198"/>
      <c r="W146" s="198"/>
      <c r="Y146" s="198"/>
      <c r="Z146" s="198"/>
      <c r="AC146" s="262"/>
      <c r="AD146" s="262"/>
      <c r="AE146" s="262"/>
      <c r="AF146" s="262"/>
      <c r="AG146" s="262"/>
      <c r="AH146" s="262"/>
      <c r="AJ146" s="265"/>
      <c r="AK146" s="262"/>
      <c r="AL146" s="262"/>
      <c r="AM146" s="262"/>
      <c r="AN146" s="262"/>
      <c r="AO146" s="262"/>
      <c r="AP146" s="262"/>
      <c r="AV146" s="198"/>
      <c r="AW146" s="198"/>
      <c r="BA146" s="198"/>
      <c r="BI146" s="198"/>
      <c r="BJ146" s="198"/>
      <c r="BK146" s="198"/>
      <c r="BQ146" s="198"/>
      <c r="BV146" s="198"/>
      <c r="BW146" s="198"/>
      <c r="BX146" s="198"/>
      <c r="CD146" s="198"/>
      <c r="CI146" s="198"/>
      <c r="CJ146" s="198"/>
      <c r="CP146" s="198"/>
      <c r="CV146" s="198"/>
      <c r="CW146" s="198"/>
      <c r="DI146" s="198"/>
      <c r="DJ146" s="198"/>
      <c r="DV146" s="198"/>
      <c r="DW146" s="198"/>
      <c r="EI146" s="198"/>
      <c r="EJ146" s="198"/>
      <c r="EV146" s="198"/>
      <c r="EW146" s="198"/>
    </row>
    <row r="147" spans="4:153">
      <c r="D147" s="198"/>
      <c r="H147" s="198"/>
      <c r="I147" s="198"/>
      <c r="J147" s="198"/>
      <c r="P147" s="198"/>
      <c r="V147" s="198"/>
      <c r="W147" s="198"/>
      <c r="Y147" s="198"/>
      <c r="Z147" s="198"/>
      <c r="AC147" s="262"/>
      <c r="AD147" s="262"/>
      <c r="AE147" s="262"/>
      <c r="AF147" s="262"/>
      <c r="AG147" s="262"/>
      <c r="AH147" s="262"/>
      <c r="AJ147" s="265"/>
      <c r="AK147" s="262"/>
      <c r="AL147" s="262"/>
      <c r="AM147" s="262"/>
      <c r="AN147" s="262"/>
      <c r="AO147" s="262"/>
      <c r="AP147" s="262"/>
      <c r="AV147" s="198"/>
      <c r="AW147" s="198"/>
      <c r="BA147" s="198"/>
      <c r="BI147" s="198"/>
      <c r="BJ147" s="198"/>
      <c r="BK147" s="198"/>
      <c r="BQ147" s="198"/>
      <c r="BV147" s="198"/>
      <c r="BW147" s="198"/>
      <c r="BX147" s="198"/>
      <c r="CD147" s="198"/>
      <c r="CI147" s="198"/>
      <c r="CJ147" s="198"/>
      <c r="CP147" s="198"/>
      <c r="CV147" s="198"/>
      <c r="CW147" s="198"/>
      <c r="DI147" s="198"/>
      <c r="DJ147" s="198"/>
      <c r="DV147" s="198"/>
      <c r="DW147" s="198"/>
      <c r="EI147" s="198"/>
      <c r="EJ147" s="198"/>
      <c r="EV147" s="198"/>
      <c r="EW147" s="198"/>
    </row>
    <row r="148" spans="4:153">
      <c r="D148" s="198"/>
      <c r="H148" s="198"/>
      <c r="I148" s="198"/>
      <c r="J148" s="198"/>
      <c r="P148" s="198"/>
      <c r="V148" s="198"/>
      <c r="W148" s="198"/>
      <c r="Y148" s="198"/>
      <c r="Z148" s="198"/>
      <c r="AC148" s="262"/>
      <c r="AD148" s="262"/>
      <c r="AE148" s="262"/>
      <c r="AF148" s="262"/>
      <c r="AG148" s="262"/>
      <c r="AH148" s="262"/>
      <c r="AJ148" s="265"/>
      <c r="AK148" s="262"/>
      <c r="AL148" s="262"/>
      <c r="AM148" s="262"/>
      <c r="AN148" s="262"/>
      <c r="AO148" s="262"/>
      <c r="AP148" s="262"/>
      <c r="AV148" s="198"/>
      <c r="AW148" s="198"/>
      <c r="BA148" s="198"/>
      <c r="BI148" s="198"/>
      <c r="BJ148" s="198"/>
      <c r="BK148" s="198"/>
      <c r="BQ148" s="198"/>
      <c r="BV148" s="198"/>
      <c r="BW148" s="198"/>
      <c r="BX148" s="198"/>
      <c r="CD148" s="198"/>
      <c r="CI148" s="198"/>
      <c r="CJ148" s="198"/>
      <c r="CP148" s="198"/>
      <c r="CV148" s="198"/>
      <c r="CW148" s="198"/>
      <c r="DI148" s="198"/>
      <c r="DJ148" s="198"/>
      <c r="DV148" s="198"/>
      <c r="DW148" s="198"/>
      <c r="EI148" s="198"/>
      <c r="EJ148" s="198"/>
      <c r="EV148" s="198"/>
      <c r="EW148" s="198"/>
    </row>
  </sheetData>
  <mergeCells count="273">
    <mergeCell ref="CO55:CZ55"/>
    <mergeCell ref="CO56:CZ56"/>
    <mergeCell ref="DB55:DM55"/>
    <mergeCell ref="DB56:DM56"/>
    <mergeCell ref="DO55:DZ55"/>
    <mergeCell ref="DO56:DZ56"/>
    <mergeCell ref="EB55:EM55"/>
    <mergeCell ref="EB56:EM56"/>
    <mergeCell ref="EO55:EZ55"/>
    <mergeCell ref="EO56:EZ56"/>
    <mergeCell ref="BG57:BG59"/>
    <mergeCell ref="CI57:CI59"/>
    <mergeCell ref="CJ57:CJ59"/>
    <mergeCell ref="CK57:CM57"/>
    <mergeCell ref="BX57:BZ57"/>
    <mergeCell ref="BX58:BX59"/>
    <mergeCell ref="CG57:CG59"/>
    <mergeCell ref="CF57:CF59"/>
    <mergeCell ref="BJ57:BJ59"/>
    <mergeCell ref="BO56:BZ56"/>
    <mergeCell ref="CB56:CM56"/>
    <mergeCell ref="CE57:CE59"/>
    <mergeCell ref="CD57:CD59"/>
    <mergeCell ref="BT57:BT59"/>
    <mergeCell ref="BQ57:BQ59"/>
    <mergeCell ref="BR57:BR59"/>
    <mergeCell ref="BM58:BM59"/>
    <mergeCell ref="BZ58:BZ59"/>
    <mergeCell ref="CH57:CH59"/>
    <mergeCell ref="CB55:CM55"/>
    <mergeCell ref="BY58:BY59"/>
    <mergeCell ref="BO55:BZ55"/>
    <mergeCell ref="CL58:CL59"/>
    <mergeCell ref="CM58:CM59"/>
    <mergeCell ref="I57:I59"/>
    <mergeCell ref="CR3:CR5"/>
    <mergeCell ref="BW3:BW5"/>
    <mergeCell ref="BU3:BU5"/>
    <mergeCell ref="BJ3:BJ5"/>
    <mergeCell ref="AX4:AX5"/>
    <mergeCell ref="AE57:AE59"/>
    <mergeCell ref="AP57:AP59"/>
    <mergeCell ref="AR57:AR59"/>
    <mergeCell ref="AX57:AZ57"/>
    <mergeCell ref="AX58:AX59"/>
    <mergeCell ref="AY58:AY59"/>
    <mergeCell ref="AJ57:AJ59"/>
    <mergeCell ref="CM4:CM5"/>
    <mergeCell ref="AQ57:AQ59"/>
    <mergeCell ref="BS57:BS59"/>
    <mergeCell ref="BP3:BP5"/>
    <mergeCell ref="BR3:BR5"/>
    <mergeCell ref="BO3:BO5"/>
    <mergeCell ref="BF57:BF59"/>
    <mergeCell ref="B56:M56"/>
    <mergeCell ref="X3:Z3"/>
    <mergeCell ref="X4:X5"/>
    <mergeCell ref="Y4:Y5"/>
    <mergeCell ref="P3:P5"/>
    <mergeCell ref="O55:Z55"/>
    <mergeCell ref="AB55:AM55"/>
    <mergeCell ref="AI57:AI59"/>
    <mergeCell ref="B55:M55"/>
    <mergeCell ref="C57:C59"/>
    <mergeCell ref="E57:E59"/>
    <mergeCell ref="H57:H59"/>
    <mergeCell ref="D57:D59"/>
    <mergeCell ref="K58:K59"/>
    <mergeCell ref="L58:L59"/>
    <mergeCell ref="M58:M59"/>
    <mergeCell ref="J57:J59"/>
    <mergeCell ref="K57:M57"/>
    <mergeCell ref="G57:G59"/>
    <mergeCell ref="F57:F59"/>
    <mergeCell ref="BD57:BD59"/>
    <mergeCell ref="U57:U59"/>
    <mergeCell ref="AT57:AT59"/>
    <mergeCell ref="EV3:EV5"/>
    <mergeCell ref="EP3:EP5"/>
    <mergeCell ref="E3:E5"/>
    <mergeCell ref="CK58:CK59"/>
    <mergeCell ref="AU57:AU59"/>
    <mergeCell ref="BC57:BC59"/>
    <mergeCell ref="BE57:BE59"/>
    <mergeCell ref="AZ58:AZ59"/>
    <mergeCell ref="BH57:BH59"/>
    <mergeCell ref="BI57:BI59"/>
    <mergeCell ref="AV57:AV59"/>
    <mergeCell ref="AW57:AW59"/>
    <mergeCell ref="BU57:BU59"/>
    <mergeCell ref="BK58:BK59"/>
    <mergeCell ref="BL58:BL59"/>
    <mergeCell ref="BP57:BP59"/>
    <mergeCell ref="BV57:BV59"/>
    <mergeCell ref="BW57:BW59"/>
    <mergeCell ref="BK57:BM57"/>
    <mergeCell ref="CC57:CC59"/>
    <mergeCell ref="BE3:BE5"/>
    <mergeCell ref="BC3:BC5"/>
    <mergeCell ref="BG3:BG5"/>
    <mergeCell ref="EQ3:EQ5"/>
    <mergeCell ref="EH3:EH5"/>
    <mergeCell ref="EI3:EI5"/>
    <mergeCell ref="EJ3:EJ5"/>
    <mergeCell ref="EM4:EM5"/>
    <mergeCell ref="DQ3:DQ5"/>
    <mergeCell ref="EK3:EM3"/>
    <mergeCell ref="DB2:DM2"/>
    <mergeCell ref="DE3:DE5"/>
    <mergeCell ref="DH3:DH5"/>
    <mergeCell ref="DI3:DI5"/>
    <mergeCell ref="DJ3:DJ5"/>
    <mergeCell ref="DD3:DD5"/>
    <mergeCell ref="DX4:DX5"/>
    <mergeCell ref="DY4:DY5"/>
    <mergeCell ref="DZ4:DZ5"/>
    <mergeCell ref="DB3:DB5"/>
    <mergeCell ref="DG3:DG5"/>
    <mergeCell ref="DK3:DM3"/>
    <mergeCell ref="DK4:DK5"/>
    <mergeCell ref="DL4:DL5"/>
    <mergeCell ref="DM4:DM5"/>
    <mergeCell ref="DF3:DF5"/>
    <mergeCell ref="DC3:DC5"/>
    <mergeCell ref="DO3:DO5"/>
    <mergeCell ref="DX3:DZ3"/>
    <mergeCell ref="DR3:DR5"/>
    <mergeCell ref="DT3:DT5"/>
    <mergeCell ref="BO2:BZ2"/>
    <mergeCell ref="CE3:CE5"/>
    <mergeCell ref="CI3:CI5"/>
    <mergeCell ref="CJ3:CJ5"/>
    <mergeCell ref="CD3:CD5"/>
    <mergeCell ref="BX3:BZ3"/>
    <mergeCell ref="BX4:BX5"/>
    <mergeCell ref="BY4:BY5"/>
    <mergeCell ref="BQ3:BQ5"/>
    <mergeCell ref="BT3:BT5"/>
    <mergeCell ref="BV3:BV5"/>
    <mergeCell ref="BS3:BS5"/>
    <mergeCell ref="BZ4:BZ5"/>
    <mergeCell ref="CO2:CZ2"/>
    <mergeCell ref="CB2:CM2"/>
    <mergeCell ref="CB3:CB5"/>
    <mergeCell ref="CH3:CH5"/>
    <mergeCell ref="CC3:CC5"/>
    <mergeCell ref="CO3:CO5"/>
    <mergeCell ref="CZ4:CZ5"/>
    <mergeCell ref="CK4:CK5"/>
    <mergeCell ref="CG3:CG5"/>
    <mergeCell ref="CL4:CL5"/>
    <mergeCell ref="CY4:CY5"/>
    <mergeCell ref="CX3:CZ3"/>
    <mergeCell ref="CV3:CV5"/>
    <mergeCell ref="CT3:CT5"/>
    <mergeCell ref="CX4:CX5"/>
    <mergeCell ref="CF3:CF5"/>
    <mergeCell ref="CS3:CS5"/>
    <mergeCell ref="CU3:CU5"/>
    <mergeCell ref="CQ3:CQ5"/>
    <mergeCell ref="CW3:CW5"/>
    <mergeCell ref="CK3:CM3"/>
    <mergeCell ref="CP3:CP5"/>
    <mergeCell ref="B2:M2"/>
    <mergeCell ref="O2:Z2"/>
    <mergeCell ref="B3:B5"/>
    <mergeCell ref="C3:C5"/>
    <mergeCell ref="Q3:Q5"/>
    <mergeCell ref="V3:V5"/>
    <mergeCell ref="J3:J5"/>
    <mergeCell ref="I3:I5"/>
    <mergeCell ref="W3:W5"/>
    <mergeCell ref="S3:S5"/>
    <mergeCell ref="G3:G5"/>
    <mergeCell ref="F3:F5"/>
    <mergeCell ref="D3:D5"/>
    <mergeCell ref="K3:M3"/>
    <mergeCell ref="K4:K5"/>
    <mergeCell ref="L4:L5"/>
    <mergeCell ref="U3:U5"/>
    <mergeCell ref="H3:H5"/>
    <mergeCell ref="R3:R5"/>
    <mergeCell ref="Z4:Z5"/>
    <mergeCell ref="T3:T5"/>
    <mergeCell ref="M4:M5"/>
    <mergeCell ref="O3:O5"/>
    <mergeCell ref="AB2:AM2"/>
    <mergeCell ref="AP3:AP5"/>
    <mergeCell ref="AR3:AR5"/>
    <mergeCell ref="AC3:AC5"/>
    <mergeCell ref="AE3:AE5"/>
    <mergeCell ref="AI3:AI5"/>
    <mergeCell ref="AJ3:AJ5"/>
    <mergeCell ref="AK3:AM3"/>
    <mergeCell ref="AK4:AK5"/>
    <mergeCell ref="AO2:AZ2"/>
    <mergeCell ref="AG3:AG5"/>
    <mergeCell ref="AB3:AB5"/>
    <mergeCell ref="AT3:AT5"/>
    <mergeCell ref="AX3:AZ3"/>
    <mergeCell ref="AV3:AV5"/>
    <mergeCell ref="AZ4:AZ5"/>
    <mergeCell ref="AM4:AM5"/>
    <mergeCell ref="AL4:AL5"/>
    <mergeCell ref="AY4:AY5"/>
    <mergeCell ref="AF3:AF5"/>
    <mergeCell ref="AH3:AH5"/>
    <mergeCell ref="AD3:AD5"/>
    <mergeCell ref="BB2:BM2"/>
    <mergeCell ref="BB56:BM56"/>
    <mergeCell ref="AO56:AZ56"/>
    <mergeCell ref="AU3:AU5"/>
    <mergeCell ref="AW3:AW5"/>
    <mergeCell ref="BH3:BH5"/>
    <mergeCell ref="BI3:BI5"/>
    <mergeCell ref="BB55:BM55"/>
    <mergeCell ref="BD3:BD5"/>
    <mergeCell ref="BF3:BF5"/>
    <mergeCell ref="AQ3:AQ5"/>
    <mergeCell ref="BB3:BB5"/>
    <mergeCell ref="AO55:AZ55"/>
    <mergeCell ref="AS3:AS5"/>
    <mergeCell ref="BK3:BM3"/>
    <mergeCell ref="BK4:BK5"/>
    <mergeCell ref="BL4:BL5"/>
    <mergeCell ref="BM4:BM5"/>
    <mergeCell ref="EO2:EZ2"/>
    <mergeCell ref="EB2:EM2"/>
    <mergeCell ref="EC3:EC5"/>
    <mergeCell ref="DU3:DU5"/>
    <mergeCell ref="DV3:DV5"/>
    <mergeCell ref="DW3:DW5"/>
    <mergeCell ref="EX3:EZ3"/>
    <mergeCell ref="DP3:DP5"/>
    <mergeCell ref="EY4:EY5"/>
    <mergeCell ref="EZ4:EZ5"/>
    <mergeCell ref="DO2:DZ2"/>
    <mergeCell ref="EW3:EW5"/>
    <mergeCell ref="ER3:ER5"/>
    <mergeCell ref="EK4:EK5"/>
    <mergeCell ref="EL4:EL5"/>
    <mergeCell ref="EG3:EG5"/>
    <mergeCell ref="EE3:EE5"/>
    <mergeCell ref="EX4:EX5"/>
    <mergeCell ref="EU3:EU5"/>
    <mergeCell ref="ET3:ET5"/>
    <mergeCell ref="DS3:DS5"/>
    <mergeCell ref="EF3:EF5"/>
    <mergeCell ref="ES3:ES5"/>
    <mergeCell ref="ED3:ED5"/>
    <mergeCell ref="S57:S59"/>
    <mergeCell ref="AF57:AF59"/>
    <mergeCell ref="AS57:AS59"/>
    <mergeCell ref="O56:Z56"/>
    <mergeCell ref="AK58:AK59"/>
    <mergeCell ref="AL58:AL59"/>
    <mergeCell ref="AM58:AM59"/>
    <mergeCell ref="AK57:AM57"/>
    <mergeCell ref="AD57:AD59"/>
    <mergeCell ref="AB56:AM56"/>
    <mergeCell ref="X57:Z57"/>
    <mergeCell ref="Q57:Q59"/>
    <mergeCell ref="AH57:AH59"/>
    <mergeCell ref="AG57:AG59"/>
    <mergeCell ref="Z58:Z59"/>
    <mergeCell ref="AC57:AC59"/>
    <mergeCell ref="R57:R59"/>
    <mergeCell ref="P57:P59"/>
    <mergeCell ref="W57:W59"/>
    <mergeCell ref="V57:V59"/>
    <mergeCell ref="X58:X59"/>
    <mergeCell ref="Y58:Y59"/>
    <mergeCell ref="T57:T59"/>
  </mergeCells>
  <phoneticPr fontId="0" type="noConversion"/>
  <printOptions horizontalCentered="1"/>
  <pageMargins left="0.15" right="0.15" top="0.5" bottom="0.25" header="0.25" footer="0.2"/>
  <pageSetup scale="10" orientation="portrait" r:id="rId1"/>
  <headerFooter alignWithMargins="0">
    <oddHeader>&amp;C&amp;"Arial,Bold"&amp;12FY16 Metro Bus, Directly Operated, Contracted, &amp; Rail: Budgeted, Scheduled and Actual  Revenue Service Hours</oddHeader>
    <oddFooter>&amp;L&amp;8* Sched. RH is Actual Hours at Time of Mark Up.  **Rail lost veh. In-Ser. Delay RH are estimated from lost train RH &amp; include some canc. RH.  **** From ATMS &amp; RIMS -&gt; 10 min. delay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BB116"/>
  <sheetViews>
    <sheetView view="pageBreakPreview" zoomScale="87" zoomScaleNormal="75" workbookViewId="0">
      <pane xSplit="1" ySplit="3" topLeftCell="O18" activePane="bottomRight" state="frozen"/>
      <selection pane="bottomRight" activeCell="FV40" sqref="FV40"/>
      <selection pane="bottomLeft" activeCell="FV40" sqref="FV40"/>
      <selection pane="topRight" activeCell="FV40" sqref="FV40"/>
    </sheetView>
  </sheetViews>
  <sheetFormatPr defaultColWidth="9.140625" defaultRowHeight="12"/>
  <cols>
    <col min="1" max="1" width="10" style="154" bestFit="1" customWidth="1"/>
    <col min="2" max="2" width="8.140625" style="154" customWidth="1"/>
    <col min="3" max="3" width="7.28515625" style="154" customWidth="1"/>
    <col min="4" max="4" width="2.28515625" style="155" customWidth="1"/>
    <col min="5" max="5" width="9.140625" style="154"/>
    <col min="6" max="6" width="7.28515625" style="154" customWidth="1"/>
    <col min="7" max="7" width="2.42578125" style="155" customWidth="1"/>
    <col min="8" max="8" width="9.42578125" style="154" bestFit="1" customWidth="1"/>
    <col min="9" max="9" width="7" style="154" customWidth="1"/>
    <col min="10" max="10" width="2" style="154" customWidth="1"/>
    <col min="11" max="11" width="8.7109375" style="154" customWidth="1"/>
    <col min="12" max="12" width="7" style="154" customWidth="1"/>
    <col min="13" max="13" width="1.85546875" style="154" customWidth="1"/>
    <col min="14" max="14" width="9.7109375" style="154" customWidth="1"/>
    <col min="15" max="15" width="7" style="154" customWidth="1"/>
    <col min="16" max="16" width="2" style="155" customWidth="1"/>
    <col min="17" max="17" width="7.140625" style="154" bestFit="1" customWidth="1"/>
    <col min="18" max="20" width="11.7109375" style="154" customWidth="1"/>
    <col min="21" max="21" width="8.85546875" style="154" customWidth="1"/>
    <col min="22" max="22" width="10.5703125" style="154" bestFit="1" customWidth="1"/>
    <col min="23" max="23" width="1.7109375" style="154" customWidth="1"/>
    <col min="24" max="26" width="11.7109375" style="154" customWidth="1"/>
    <col min="27" max="28" width="9.5703125" style="154" customWidth="1"/>
    <col min="29" max="29" width="1.7109375" style="172" customWidth="1"/>
    <col min="30" max="30" width="10.28515625" style="172" customWidth="1"/>
    <col min="31" max="35" width="11.7109375" style="154" customWidth="1"/>
    <col min="36" max="36" width="1.7109375" style="154" customWidth="1"/>
    <col min="37" max="41" width="11.7109375" style="154" customWidth="1"/>
    <col min="42" max="42" width="10.28515625" style="172" customWidth="1"/>
    <col min="43" max="46" width="9.140625" style="154"/>
    <col min="47" max="47" width="9.42578125" style="154" bestFit="1" customWidth="1"/>
    <col min="48" max="16384" width="9.140625" style="154"/>
  </cols>
  <sheetData>
    <row r="1" spans="1:54" ht="15.75" thickBot="1">
      <c r="A1" s="316"/>
      <c r="B1" s="678" t="s">
        <v>22</v>
      </c>
      <c r="C1" s="678"/>
      <c r="D1" s="288"/>
      <c r="E1" s="679" t="s">
        <v>23</v>
      </c>
      <c r="F1" s="679"/>
      <c r="G1" s="288"/>
      <c r="H1" s="680" t="s">
        <v>25</v>
      </c>
      <c r="I1" s="680"/>
      <c r="J1" s="288"/>
      <c r="K1" s="689" t="s">
        <v>74</v>
      </c>
      <c r="L1" s="689"/>
      <c r="M1" s="288"/>
      <c r="N1" s="687" t="s">
        <v>82</v>
      </c>
      <c r="O1" s="688"/>
      <c r="Q1" s="684" t="s">
        <v>83</v>
      </c>
      <c r="R1" s="685"/>
      <c r="S1" s="685"/>
      <c r="T1" s="685"/>
      <c r="U1" s="685"/>
      <c r="V1" s="686"/>
      <c r="W1" s="156"/>
      <c r="X1" s="681" t="s">
        <v>84</v>
      </c>
      <c r="Y1" s="682"/>
      <c r="Z1" s="682"/>
      <c r="AA1" s="682"/>
      <c r="AB1" s="683"/>
      <c r="AC1" s="158"/>
      <c r="AD1" s="157"/>
      <c r="AE1" s="672" t="s">
        <v>85</v>
      </c>
      <c r="AF1" s="673"/>
      <c r="AG1" s="674"/>
      <c r="AH1" s="497"/>
      <c r="AI1" s="497"/>
      <c r="AJ1" s="159"/>
      <c r="AK1" s="675" t="s">
        <v>86</v>
      </c>
      <c r="AL1" s="676"/>
      <c r="AM1" s="677"/>
      <c r="AN1" s="275"/>
      <c r="AO1" s="275"/>
      <c r="AP1" s="157"/>
      <c r="AQ1" s="670" t="s">
        <v>87</v>
      </c>
      <c r="AR1" s="671"/>
      <c r="AS1" s="671"/>
      <c r="AT1" s="671"/>
      <c r="AU1" s="671"/>
      <c r="AV1" s="670" t="s">
        <v>88</v>
      </c>
      <c r="AW1" s="671"/>
      <c r="AX1" s="671"/>
      <c r="AY1" s="671"/>
      <c r="AZ1" s="671"/>
    </row>
    <row r="2" spans="1:54" ht="30" customHeight="1">
      <c r="A2" s="313"/>
      <c r="B2" s="690" t="s">
        <v>89</v>
      </c>
      <c r="C2" s="691"/>
      <c r="D2" s="292"/>
      <c r="E2" s="692" t="s">
        <v>89</v>
      </c>
      <c r="F2" s="693"/>
      <c r="G2" s="292"/>
      <c r="H2" s="692" t="s">
        <v>89</v>
      </c>
      <c r="I2" s="693"/>
      <c r="J2" s="292"/>
      <c r="K2" s="692" t="s">
        <v>89</v>
      </c>
      <c r="L2" s="693"/>
      <c r="M2" s="292"/>
      <c r="N2" s="692" t="s">
        <v>89</v>
      </c>
      <c r="O2" s="697"/>
      <c r="Q2" s="311" t="s">
        <v>90</v>
      </c>
      <c r="R2" s="312" t="s">
        <v>22</v>
      </c>
      <c r="S2" s="327" t="s">
        <v>23</v>
      </c>
      <c r="T2" s="326" t="s">
        <v>25</v>
      </c>
      <c r="U2" s="324" t="s">
        <v>74</v>
      </c>
      <c r="V2" s="325" t="s">
        <v>82</v>
      </c>
      <c r="W2" s="165"/>
      <c r="X2" s="315" t="s">
        <v>22</v>
      </c>
      <c r="Y2" s="327" t="s">
        <v>23</v>
      </c>
      <c r="Z2" s="326" t="s">
        <v>25</v>
      </c>
      <c r="AA2" s="324" t="s">
        <v>74</v>
      </c>
      <c r="AB2" s="325" t="s">
        <v>82</v>
      </c>
      <c r="AC2" s="165"/>
      <c r="AD2" s="160" t="s">
        <v>90</v>
      </c>
      <c r="AE2" s="161" t="s">
        <v>22</v>
      </c>
      <c r="AF2" s="162" t="s">
        <v>23</v>
      </c>
      <c r="AG2" s="163" t="s">
        <v>25</v>
      </c>
      <c r="AH2" s="164" t="s">
        <v>74</v>
      </c>
      <c r="AI2" s="166" t="s">
        <v>82</v>
      </c>
      <c r="AJ2" s="165"/>
      <c r="AK2" s="161" t="s">
        <v>22</v>
      </c>
      <c r="AL2" s="162" t="s">
        <v>23</v>
      </c>
      <c r="AM2" s="163" t="s">
        <v>25</v>
      </c>
      <c r="AN2" s="164" t="s">
        <v>74</v>
      </c>
      <c r="AO2" s="166" t="s">
        <v>82</v>
      </c>
      <c r="AP2" s="160" t="s">
        <v>90</v>
      </c>
      <c r="AQ2" s="161" t="s">
        <v>22</v>
      </c>
      <c r="AR2" s="162" t="s">
        <v>23</v>
      </c>
      <c r="AS2" s="163" t="s">
        <v>25</v>
      </c>
      <c r="AT2" s="164" t="s">
        <v>74</v>
      </c>
      <c r="AU2" s="166" t="s">
        <v>82</v>
      </c>
      <c r="AV2" s="161" t="s">
        <v>22</v>
      </c>
      <c r="AW2" s="162" t="s">
        <v>23</v>
      </c>
      <c r="AX2" s="163" t="s">
        <v>25</v>
      </c>
      <c r="AY2" s="164" t="s">
        <v>74</v>
      </c>
      <c r="AZ2" s="166" t="s">
        <v>82</v>
      </c>
    </row>
    <row r="3" spans="1:54" ht="12.75" thickBot="1">
      <c r="A3" s="311" t="s">
        <v>90</v>
      </c>
      <c r="B3" s="167" t="s">
        <v>91</v>
      </c>
      <c r="C3" s="332" t="s">
        <v>92</v>
      </c>
      <c r="D3" s="292"/>
      <c r="E3" s="194" t="s">
        <v>91</v>
      </c>
      <c r="F3" s="121" t="s">
        <v>92</v>
      </c>
      <c r="G3" s="292"/>
      <c r="H3" s="194" t="s">
        <v>91</v>
      </c>
      <c r="I3" s="121" t="s">
        <v>92</v>
      </c>
      <c r="J3" s="292"/>
      <c r="K3" s="194" t="s">
        <v>91</v>
      </c>
      <c r="L3" s="121" t="s">
        <v>92</v>
      </c>
      <c r="M3" s="292"/>
      <c r="N3" s="194" t="s">
        <v>91</v>
      </c>
      <c r="O3" s="299" t="s">
        <v>92</v>
      </c>
      <c r="Q3" s="313"/>
      <c r="R3" s="194"/>
      <c r="S3" s="194"/>
      <c r="T3" s="194"/>
      <c r="U3" s="194"/>
      <c r="V3" s="314"/>
      <c r="W3" s="155"/>
      <c r="X3" s="313"/>
      <c r="Y3" s="194"/>
      <c r="Z3" s="194"/>
      <c r="AA3" s="194"/>
      <c r="AB3" s="314"/>
      <c r="AC3" s="168"/>
      <c r="AD3" s="154"/>
      <c r="AJ3" s="155"/>
      <c r="AP3" s="154"/>
    </row>
    <row r="4" spans="1:54">
      <c r="A4" s="298">
        <v>37438</v>
      </c>
      <c r="B4" s="333">
        <v>5071</v>
      </c>
      <c r="C4" s="334">
        <v>14.65</v>
      </c>
      <c r="D4" s="288"/>
      <c r="E4" s="333">
        <v>6498</v>
      </c>
      <c r="F4" s="334">
        <v>68.47</v>
      </c>
      <c r="G4" s="288"/>
      <c r="H4" s="333">
        <v>4389</v>
      </c>
      <c r="I4" s="334">
        <v>40.75</v>
      </c>
      <c r="J4" s="288"/>
      <c r="K4" s="333">
        <f>E4+H4</f>
        <v>10887</v>
      </c>
      <c r="L4" s="334">
        <f>F4+I4</f>
        <v>109.22</v>
      </c>
      <c r="M4" s="288"/>
      <c r="N4" s="333">
        <f>B4+E4+H4</f>
        <v>15958</v>
      </c>
      <c r="O4" s="334">
        <f>C4+F4+I4</f>
        <v>123.87</v>
      </c>
      <c r="P4" s="288"/>
      <c r="Q4" s="298">
        <v>37438</v>
      </c>
      <c r="R4" s="301">
        <f t="shared" ref="R4:R13" si="0">C4/B4</f>
        <v>2.8889765332281601E-3</v>
      </c>
      <c r="S4" s="302">
        <f t="shared" ref="S4:S13" si="1">F4/E4</f>
        <v>1.0537088334872269E-2</v>
      </c>
      <c r="T4" s="302">
        <f t="shared" ref="T4:T13" si="2">I4/H4</f>
        <v>9.2845750740487582E-3</v>
      </c>
      <c r="U4" s="302">
        <f t="shared" ref="U4:U15" si="3">(F4+I4)/(E4+H4)</f>
        <v>1.0032148433912005E-2</v>
      </c>
      <c r="V4" s="304">
        <f>(C4++F4+I4)/(B4+E4+H4)</f>
        <v>7.762250908635168E-3</v>
      </c>
      <c r="W4" s="303"/>
      <c r="X4" s="301">
        <f t="shared" ref="X4:X13" si="4">1-(C4/B4)</f>
        <v>0.99711102346677183</v>
      </c>
      <c r="Y4" s="301">
        <f t="shared" ref="Y4:Y13" si="5">1-(F4/E4)</f>
        <v>0.98946291166512768</v>
      </c>
      <c r="Z4" s="301">
        <f t="shared" ref="Z4:Z13" si="6">1-(I4/H4)</f>
        <v>0.99071542492595122</v>
      </c>
      <c r="AA4" s="301">
        <f t="shared" ref="AA4:AA13" si="7">1-((F4+I4)/(E4+H4))</f>
        <v>0.98996785156608802</v>
      </c>
      <c r="AB4" s="304">
        <f>1-((C4+F4+I4)/(B4+E4+H4))</f>
        <v>0.99223774909136486</v>
      </c>
      <c r="AC4" s="171"/>
      <c r="AP4" s="170">
        <v>37438</v>
      </c>
      <c r="AQ4" s="181">
        <f>SUM($C$4:C4)/SUM($B$4:B4)</f>
        <v>2.8889765332281601E-3</v>
      </c>
      <c r="AR4" s="182">
        <f>SUM($F$4:F4)/SUM($E$4:E4)</f>
        <v>1.0537088334872269E-2</v>
      </c>
      <c r="AS4" s="183">
        <f>SUM($I$4:I4)/SUM($H$4:H4)</f>
        <v>9.2845750740487582E-3</v>
      </c>
      <c r="AT4" s="184">
        <f>SUM($I$4:I4,$F$4:F4)/SUM($H$4:H4,$E$4:E4)</f>
        <v>1.0032148433912005E-2</v>
      </c>
      <c r="AU4" s="183">
        <f>SUM($I$4:I4,$F$4:F4,$C$4:C4)/SUM($H$4:H4,$E$4:E4,$B$4:B4)</f>
        <v>7.762250908635168E-3</v>
      </c>
      <c r="AV4" s="181">
        <f t="shared" ref="AV4:AV13" si="8">1-AQ4</f>
        <v>0.99711102346677183</v>
      </c>
      <c r="AW4" s="182">
        <f t="shared" ref="AW4:AW13" si="9">1-AR4</f>
        <v>0.98946291166512768</v>
      </c>
      <c r="AX4" s="183">
        <f t="shared" ref="AX4:AX13" si="10">1-AS4</f>
        <v>0.99071542492595122</v>
      </c>
      <c r="AY4" s="184">
        <f t="shared" ref="AY4:AY13" si="11">1-AT4</f>
        <v>0.98996785156608802</v>
      </c>
      <c r="AZ4" s="183">
        <f t="shared" ref="AZ4:AZ13" si="12">1-AU4</f>
        <v>0.99223774909136486</v>
      </c>
    </row>
    <row r="5" spans="1:54">
      <c r="A5" s="291">
        <v>37469</v>
      </c>
      <c r="B5" s="120">
        <v>5028</v>
      </c>
      <c r="C5" s="121">
        <v>28.25</v>
      </c>
      <c r="D5" s="292"/>
      <c r="E5" s="120">
        <v>6499</v>
      </c>
      <c r="F5" s="121">
        <v>154.05000000000001</v>
      </c>
      <c r="G5" s="292"/>
      <c r="H5" s="120">
        <v>4253</v>
      </c>
      <c r="I5" s="121">
        <v>384.3</v>
      </c>
      <c r="J5" s="292"/>
      <c r="K5" s="120">
        <f t="shared" ref="K5:K13" si="13">E5+H5</f>
        <v>10752</v>
      </c>
      <c r="L5" s="121">
        <f t="shared" ref="L5:L13" si="14">F5+I5</f>
        <v>538.35</v>
      </c>
      <c r="M5" s="292"/>
      <c r="N5" s="120">
        <f t="shared" ref="N5:N13" si="15">B5+E5+H5</f>
        <v>15780</v>
      </c>
      <c r="O5" s="121">
        <f t="shared" ref="O5:O13" si="16">C5+F5+I5</f>
        <v>566.6</v>
      </c>
      <c r="P5" s="292"/>
      <c r="Q5" s="291">
        <v>37469</v>
      </c>
      <c r="R5" s="305">
        <f t="shared" si="0"/>
        <v>5.6185361972951476E-3</v>
      </c>
      <c r="S5" s="189">
        <f t="shared" si="1"/>
        <v>2.3703646714879213E-2</v>
      </c>
      <c r="T5" s="189">
        <f t="shared" si="2"/>
        <v>9.0359746061603574E-2</v>
      </c>
      <c r="U5" s="189">
        <f t="shared" si="3"/>
        <v>5.0069754464285715E-2</v>
      </c>
      <c r="V5" s="306">
        <f t="shared" ref="V5:V14" si="17">(C5++F5+I5)/(B5+E5+H5)</f>
        <v>3.5906210392902413E-2</v>
      </c>
      <c r="W5" s="190"/>
      <c r="X5" s="305">
        <f t="shared" si="4"/>
        <v>0.99438146380270487</v>
      </c>
      <c r="Y5" s="305">
        <f t="shared" si="5"/>
        <v>0.97629635328512077</v>
      </c>
      <c r="Z5" s="305">
        <f t="shared" si="6"/>
        <v>0.90964025393839643</v>
      </c>
      <c r="AA5" s="305">
        <f t="shared" si="7"/>
        <v>0.94993024553571426</v>
      </c>
      <c r="AB5" s="306">
        <f t="shared" ref="AB5:AB14" si="18">1-((C5+F5+I5)/(B5+E5+H5))</f>
        <v>0.96409378960709757</v>
      </c>
      <c r="AC5" s="171"/>
      <c r="AP5" s="170">
        <v>37469</v>
      </c>
      <c r="AQ5" s="181">
        <f>SUM($C$4:C5)/SUM($B$4:B5)</f>
        <v>4.2479453411228829E-3</v>
      </c>
      <c r="AR5" s="182">
        <f>SUM($F$4:F5)/SUM($E$4:E5)</f>
        <v>1.7120874047857199E-2</v>
      </c>
      <c r="AS5" s="183">
        <f>SUM($I$4:I5)/SUM($H$4:H5)</f>
        <v>4.9184216616523953E-2</v>
      </c>
      <c r="AT5" s="184">
        <f>SUM($I$4:I5,$F$4:F5)/SUM($H$4:H5,$E$4:E5)</f>
        <v>2.9926059429733348E-2</v>
      </c>
      <c r="AU5" s="183">
        <f>SUM($I$4:I5,$F$4:F5,$C$4:C5)/SUM($H$4:H5,$E$4:E5,$B$4:B5)</f>
        <v>2.1755309093200576E-2</v>
      </c>
      <c r="AV5" s="181">
        <f t="shared" si="8"/>
        <v>0.99575205465887717</v>
      </c>
      <c r="AW5" s="182">
        <f t="shared" si="9"/>
        <v>0.98287912595214277</v>
      </c>
      <c r="AX5" s="183">
        <f t="shared" si="10"/>
        <v>0.95081578338347605</v>
      </c>
      <c r="AY5" s="184">
        <f t="shared" si="11"/>
        <v>0.97007394057026664</v>
      </c>
      <c r="AZ5" s="183">
        <f t="shared" si="12"/>
        <v>0.97824469090679944</v>
      </c>
    </row>
    <row r="6" spans="1:54">
      <c r="A6" s="291">
        <v>37500</v>
      </c>
      <c r="B6" s="120">
        <v>4837</v>
      </c>
      <c r="C6" s="121">
        <v>66.58</v>
      </c>
      <c r="D6" s="292"/>
      <c r="E6" s="120">
        <v>6216</v>
      </c>
      <c r="F6" s="121">
        <v>188.2</v>
      </c>
      <c r="G6" s="292"/>
      <c r="H6" s="120">
        <v>4071</v>
      </c>
      <c r="I6" s="121">
        <v>443.85</v>
      </c>
      <c r="J6" s="292"/>
      <c r="K6" s="120">
        <f t="shared" si="13"/>
        <v>10287</v>
      </c>
      <c r="L6" s="121">
        <f t="shared" si="14"/>
        <v>632.04999999999995</v>
      </c>
      <c r="M6" s="292"/>
      <c r="N6" s="120">
        <f t="shared" si="15"/>
        <v>15124</v>
      </c>
      <c r="O6" s="121">
        <f t="shared" si="16"/>
        <v>698.63</v>
      </c>
      <c r="P6" s="292"/>
      <c r="Q6" s="291">
        <v>37500</v>
      </c>
      <c r="R6" s="305">
        <f t="shared" si="0"/>
        <v>1.3764730204672317E-2</v>
      </c>
      <c r="S6" s="189">
        <f t="shared" si="1"/>
        <v>3.0276705276705274E-2</v>
      </c>
      <c r="T6" s="189">
        <f t="shared" si="2"/>
        <v>0.10902726602800296</v>
      </c>
      <c r="U6" s="189">
        <f t="shared" si="3"/>
        <v>6.1441625352386502E-2</v>
      </c>
      <c r="V6" s="306">
        <f t="shared" si="17"/>
        <v>4.6193467336683419E-2</v>
      </c>
      <c r="W6" s="190"/>
      <c r="X6" s="305">
        <f t="shared" si="4"/>
        <v>0.98623526979532772</v>
      </c>
      <c r="Y6" s="305">
        <f t="shared" si="5"/>
        <v>0.96972329472329477</v>
      </c>
      <c r="Z6" s="305">
        <f t="shared" si="6"/>
        <v>0.89097273397199706</v>
      </c>
      <c r="AA6" s="305">
        <f t="shared" si="7"/>
        <v>0.93855837464761349</v>
      </c>
      <c r="AB6" s="306">
        <f t="shared" si="18"/>
        <v>0.95380653266331661</v>
      </c>
      <c r="AC6" s="171"/>
      <c r="AP6" s="170">
        <v>37500</v>
      </c>
      <c r="AQ6" s="181">
        <f>SUM($C$4:C6)/SUM($B$4:B6)</f>
        <v>7.3299410819496515E-3</v>
      </c>
      <c r="AR6" s="182">
        <f>SUM($F$4:F6)/SUM($E$4:E6)</f>
        <v>2.1377192525893929E-2</v>
      </c>
      <c r="AS6" s="183">
        <f>SUM($I$4:I6)/SUM($H$4:H6)</f>
        <v>6.8347360969086765E-2</v>
      </c>
      <c r="AT6" s="184">
        <f>SUM($I$4:I6,$F$4:F6)/SUM($H$4:H6,$E$4:E6)</f>
        <v>4.0080811877466642E-2</v>
      </c>
      <c r="AU6" s="183">
        <f>SUM($I$4:I6,$F$4:F6,$C$4:C6)/SUM($H$4:H6,$E$4:E6,$B$4:B6)</f>
        <v>2.9642354146216552E-2</v>
      </c>
      <c r="AV6" s="181">
        <f t="shared" si="8"/>
        <v>0.99267005891805038</v>
      </c>
      <c r="AW6" s="182">
        <f t="shared" si="9"/>
        <v>0.97862280747410613</v>
      </c>
      <c r="AX6" s="183">
        <f t="shared" si="10"/>
        <v>0.93165263903091322</v>
      </c>
      <c r="AY6" s="184">
        <f t="shared" si="11"/>
        <v>0.95991918812253341</v>
      </c>
      <c r="AZ6" s="183">
        <f t="shared" si="12"/>
        <v>0.97035764585378348</v>
      </c>
    </row>
    <row r="7" spans="1:54">
      <c r="A7" s="291">
        <v>37530</v>
      </c>
      <c r="B7" s="120">
        <v>5122</v>
      </c>
      <c r="C7" s="300">
        <v>26.82</v>
      </c>
      <c r="D7" s="292"/>
      <c r="E7" s="120">
        <v>6680</v>
      </c>
      <c r="F7" s="121">
        <v>156.02000000000001</v>
      </c>
      <c r="G7" s="292"/>
      <c r="H7" s="120">
        <v>4396</v>
      </c>
      <c r="I7" s="121">
        <v>93.82</v>
      </c>
      <c r="J7" s="292"/>
      <c r="K7" s="120">
        <f t="shared" si="13"/>
        <v>11076</v>
      </c>
      <c r="L7" s="121">
        <f t="shared" si="14"/>
        <v>249.84</v>
      </c>
      <c r="M7" s="292"/>
      <c r="N7" s="120">
        <f t="shared" si="15"/>
        <v>16198</v>
      </c>
      <c r="O7" s="121">
        <f t="shared" si="16"/>
        <v>276.65999999999997</v>
      </c>
      <c r="P7" s="292"/>
      <c r="Q7" s="291">
        <v>37530</v>
      </c>
      <c r="R7" s="305">
        <f t="shared" si="0"/>
        <v>5.2362358453729016E-3</v>
      </c>
      <c r="S7" s="189">
        <f t="shared" si="1"/>
        <v>2.3356287425149704E-2</v>
      </c>
      <c r="T7" s="189">
        <f t="shared" si="2"/>
        <v>2.1342129208371245E-2</v>
      </c>
      <c r="U7" s="189">
        <f t="shared" si="3"/>
        <v>2.2556879739978331E-2</v>
      </c>
      <c r="V7" s="306">
        <f t="shared" si="17"/>
        <v>1.7079886405729102E-2</v>
      </c>
      <c r="W7" s="190"/>
      <c r="X7" s="189">
        <f t="shared" si="4"/>
        <v>0.99476376415462708</v>
      </c>
      <c r="Y7" s="305">
        <f t="shared" si="5"/>
        <v>0.97664371257485028</v>
      </c>
      <c r="Z7" s="305">
        <f t="shared" si="6"/>
        <v>0.9786578707916288</v>
      </c>
      <c r="AA7" s="305">
        <f t="shared" si="7"/>
        <v>0.97744312026002167</v>
      </c>
      <c r="AB7" s="306">
        <f t="shared" si="18"/>
        <v>0.98292011359427089</v>
      </c>
      <c r="AC7" s="171"/>
      <c r="AP7" s="170">
        <v>37530</v>
      </c>
      <c r="AQ7" s="181">
        <f>SUM($C$4:C7)/SUM($B$4:B7)</f>
        <v>6.7952936484195828E-3</v>
      </c>
      <c r="AR7" s="182">
        <f>SUM($F$4:F7)/SUM($E$4:E7)</f>
        <v>2.1887768895068164E-2</v>
      </c>
      <c r="AS7" s="183">
        <f>SUM($I$4:I7)/SUM($H$4:H7)</f>
        <v>5.6269799520720087E-2</v>
      </c>
      <c r="AT7" s="184">
        <f>SUM($I$4:I7,$F$4:F7)/SUM($H$4:H7,$E$4:E7)</f>
        <v>3.5567182921724574E-2</v>
      </c>
      <c r="AU7" s="183">
        <f>SUM($I$4:I7,$F$4:F7,$C$4:C7)/SUM($H$4:H7,$E$4:E7,$B$4:B7)</f>
        <v>2.6415477323184267E-2</v>
      </c>
      <c r="AV7" s="181">
        <f t="shared" si="8"/>
        <v>0.99320470635158042</v>
      </c>
      <c r="AW7" s="182">
        <f t="shared" si="9"/>
        <v>0.97811223110493184</v>
      </c>
      <c r="AX7" s="183">
        <f t="shared" si="10"/>
        <v>0.94373020047927991</v>
      </c>
      <c r="AY7" s="184">
        <f t="shared" si="11"/>
        <v>0.96443281707827544</v>
      </c>
      <c r="AZ7" s="183">
        <f t="shared" si="12"/>
        <v>0.97358452267681572</v>
      </c>
    </row>
    <row r="8" spans="1:54">
      <c r="A8" s="291">
        <v>37561</v>
      </c>
      <c r="B8" s="120">
        <v>5003</v>
      </c>
      <c r="C8" s="121">
        <v>134.37</v>
      </c>
      <c r="D8" s="292"/>
      <c r="E8" s="120">
        <v>6446</v>
      </c>
      <c r="F8" s="121">
        <v>295.48</v>
      </c>
      <c r="G8" s="292"/>
      <c r="H8" s="120">
        <v>4098</v>
      </c>
      <c r="I8" s="121">
        <v>198.88</v>
      </c>
      <c r="J8" s="292"/>
      <c r="K8" s="120">
        <f t="shared" si="13"/>
        <v>10544</v>
      </c>
      <c r="L8" s="121">
        <f t="shared" si="14"/>
        <v>494.36</v>
      </c>
      <c r="M8" s="292"/>
      <c r="N8" s="120">
        <f t="shared" si="15"/>
        <v>15547</v>
      </c>
      <c r="O8" s="121">
        <f t="shared" si="16"/>
        <v>628.73</v>
      </c>
      <c r="P8" s="292"/>
      <c r="Q8" s="291">
        <v>37561</v>
      </c>
      <c r="R8" s="305">
        <f t="shared" si="0"/>
        <v>2.6857885268838699E-2</v>
      </c>
      <c r="S8" s="189">
        <f t="shared" si="1"/>
        <v>4.5839280173751169E-2</v>
      </c>
      <c r="T8" s="189">
        <f t="shared" si="2"/>
        <v>4.853099072718399E-2</v>
      </c>
      <c r="U8" s="189">
        <f t="shared" si="3"/>
        <v>4.6885432473444615E-2</v>
      </c>
      <c r="V8" s="306">
        <f t="shared" si="17"/>
        <v>4.0440599472567056E-2</v>
      </c>
      <c r="W8" s="190"/>
      <c r="X8" s="305">
        <f t="shared" si="4"/>
        <v>0.9731421147311613</v>
      </c>
      <c r="Y8" s="305">
        <f t="shared" si="5"/>
        <v>0.95416071982624884</v>
      </c>
      <c r="Z8" s="305">
        <f t="shared" si="6"/>
        <v>0.95146900927281597</v>
      </c>
      <c r="AA8" s="305">
        <f t="shared" si="7"/>
        <v>0.95311456752655543</v>
      </c>
      <c r="AB8" s="306">
        <f t="shared" si="18"/>
        <v>0.95955940052743294</v>
      </c>
      <c r="AC8" s="171"/>
      <c r="AP8" s="170">
        <v>37561</v>
      </c>
      <c r="AQ8" s="181">
        <f>SUM($C$4:C8)/SUM($B$4:B8)</f>
        <v>1.0800446909540719E-2</v>
      </c>
      <c r="AR8" s="182">
        <f>SUM($F$4:F8)/SUM($E$4:E8)</f>
        <v>2.6661925229598937E-2</v>
      </c>
      <c r="AS8" s="183">
        <f>SUM($I$4:I8)/SUM($H$4:H8)</f>
        <v>5.4774366954307534E-2</v>
      </c>
      <c r="AT8" s="184">
        <f>SUM($I$4:I8,$F$4:F8)/SUM($H$4:H8,$E$4:E8)</f>
        <v>3.7795913793747429E-2</v>
      </c>
      <c r="AU8" s="183">
        <f>SUM($I$4:I8,$F$4:F8,$C$4:C8)/SUM($H$4:H8,$E$4:E8,$B$4:B8)</f>
        <v>2.9189385169259736E-2</v>
      </c>
      <c r="AV8" s="181">
        <f t="shared" si="8"/>
        <v>0.98919955309045926</v>
      </c>
      <c r="AW8" s="182">
        <f t="shared" si="9"/>
        <v>0.97333807477040102</v>
      </c>
      <c r="AX8" s="183">
        <f t="shared" si="10"/>
        <v>0.94522563304569251</v>
      </c>
      <c r="AY8" s="184">
        <f t="shared" si="11"/>
        <v>0.96220408620625253</v>
      </c>
      <c r="AZ8" s="183">
        <f t="shared" si="12"/>
        <v>0.97081061483074027</v>
      </c>
    </row>
    <row r="9" spans="1:54">
      <c r="A9" s="291">
        <v>37591</v>
      </c>
      <c r="B9" s="120">
        <v>5193</v>
      </c>
      <c r="C9" s="121">
        <v>138.69999999999999</v>
      </c>
      <c r="D9" s="292"/>
      <c r="E9" s="120">
        <v>6640</v>
      </c>
      <c r="F9" s="121">
        <v>164.1</v>
      </c>
      <c r="G9" s="292"/>
      <c r="H9" s="120">
        <v>4324</v>
      </c>
      <c r="I9" s="121">
        <v>104.73</v>
      </c>
      <c r="J9" s="292"/>
      <c r="K9" s="120">
        <f t="shared" si="13"/>
        <v>10964</v>
      </c>
      <c r="L9" s="121">
        <f t="shared" si="14"/>
        <v>268.83</v>
      </c>
      <c r="M9" s="292"/>
      <c r="N9" s="120">
        <f t="shared" si="15"/>
        <v>16157</v>
      </c>
      <c r="O9" s="121">
        <f t="shared" si="16"/>
        <v>407.53</v>
      </c>
      <c r="P9" s="292"/>
      <c r="Q9" s="291">
        <v>37591</v>
      </c>
      <c r="R9" s="305">
        <f t="shared" si="0"/>
        <v>2.6709031388407471E-2</v>
      </c>
      <c r="S9" s="189">
        <f t="shared" si="1"/>
        <v>2.4713855421686744E-2</v>
      </c>
      <c r="T9" s="189">
        <f t="shared" si="2"/>
        <v>2.4220629047178539E-2</v>
      </c>
      <c r="U9" s="189">
        <f t="shared" si="3"/>
        <v>2.4519336008755926E-2</v>
      </c>
      <c r="V9" s="306">
        <f t="shared" si="17"/>
        <v>2.522312310453673E-2</v>
      </c>
      <c r="W9" s="190"/>
      <c r="X9" s="305">
        <f t="shared" si="4"/>
        <v>0.97329096861159248</v>
      </c>
      <c r="Y9" s="305">
        <f t="shared" si="5"/>
        <v>0.97528614457831331</v>
      </c>
      <c r="Z9" s="305">
        <f t="shared" si="6"/>
        <v>0.97577937095282141</v>
      </c>
      <c r="AA9" s="305">
        <f t="shared" si="7"/>
        <v>0.97548066399124411</v>
      </c>
      <c r="AB9" s="306">
        <f t="shared" si="18"/>
        <v>0.97477687689546322</v>
      </c>
      <c r="AC9" s="171"/>
      <c r="AP9" s="170">
        <v>37591</v>
      </c>
      <c r="AQ9" s="181">
        <f>SUM($C$4:C9)/SUM($B$4:B9)</f>
        <v>1.3531103325180139E-2</v>
      </c>
      <c r="AR9" s="182">
        <f>SUM($F$4:F9)/SUM($E$4:E9)</f>
        <v>2.6330075168680571E-2</v>
      </c>
      <c r="AS9" s="183">
        <f>SUM($I$4:I9)/SUM($H$4:H9)</f>
        <v>4.9599702322666563E-2</v>
      </c>
      <c r="AT9" s="184">
        <f>SUM($I$4:I9,$F$4:F9)/SUM($H$4:H9,$E$4:E9)</f>
        <v>3.5539451247868552E-2</v>
      </c>
      <c r="AU9" s="183">
        <f>SUM($I$4:I9,$F$4:F9,$C$4:C9)/SUM($H$4:H9,$E$4:E9,$B$4:B9)</f>
        <v>2.8513148452999029E-2</v>
      </c>
      <c r="AV9" s="181">
        <f t="shared" si="8"/>
        <v>0.98646889667481985</v>
      </c>
      <c r="AW9" s="182">
        <f t="shared" si="9"/>
        <v>0.97366992483131942</v>
      </c>
      <c r="AX9" s="183">
        <f t="shared" si="10"/>
        <v>0.95040029767733347</v>
      </c>
      <c r="AY9" s="184">
        <f t="shared" si="11"/>
        <v>0.9644605487521315</v>
      </c>
      <c r="AZ9" s="183">
        <f t="shared" si="12"/>
        <v>0.97148685154700098</v>
      </c>
    </row>
    <row r="10" spans="1:54">
      <c r="A10" s="291">
        <v>37622</v>
      </c>
      <c r="B10" s="120">
        <v>5199</v>
      </c>
      <c r="C10" s="121">
        <v>57.28</v>
      </c>
      <c r="D10" s="293"/>
      <c r="E10" s="120">
        <v>6707</v>
      </c>
      <c r="F10" s="121">
        <v>249.52</v>
      </c>
      <c r="G10" s="292"/>
      <c r="H10" s="120">
        <v>4388</v>
      </c>
      <c r="I10" s="121">
        <v>94</v>
      </c>
      <c r="J10" s="292"/>
      <c r="K10" s="120">
        <f t="shared" si="13"/>
        <v>11095</v>
      </c>
      <c r="L10" s="121">
        <f t="shared" si="14"/>
        <v>343.52</v>
      </c>
      <c r="M10" s="292"/>
      <c r="N10" s="120">
        <f t="shared" si="15"/>
        <v>16294</v>
      </c>
      <c r="O10" s="121">
        <f t="shared" si="16"/>
        <v>400.8</v>
      </c>
      <c r="P10" s="292"/>
      <c r="Q10" s="291">
        <v>37622</v>
      </c>
      <c r="R10" s="305">
        <f t="shared" si="0"/>
        <v>1.101750336603193E-2</v>
      </c>
      <c r="S10" s="189">
        <f t="shared" si="1"/>
        <v>3.7202922319964221E-2</v>
      </c>
      <c r="T10" s="189">
        <f t="shared" si="2"/>
        <v>2.1422060164083864E-2</v>
      </c>
      <c r="U10" s="189">
        <f t="shared" si="3"/>
        <v>3.0961694456962594E-2</v>
      </c>
      <c r="V10" s="306">
        <f t="shared" si="17"/>
        <v>2.4598011537989444E-2</v>
      </c>
      <c r="W10" s="190"/>
      <c r="X10" s="305">
        <f t="shared" si="4"/>
        <v>0.98898249663396809</v>
      </c>
      <c r="Y10" s="305">
        <f t="shared" si="5"/>
        <v>0.96279707768003575</v>
      </c>
      <c r="Z10" s="305">
        <f t="shared" si="6"/>
        <v>0.97857793983591612</v>
      </c>
      <c r="AA10" s="305">
        <f t="shared" si="7"/>
        <v>0.96903830554303738</v>
      </c>
      <c r="AB10" s="306">
        <f t="shared" si="18"/>
        <v>0.97540198846201054</v>
      </c>
      <c r="AC10" s="171"/>
      <c r="AP10" s="170">
        <v>37622</v>
      </c>
      <c r="AQ10" s="181">
        <f>SUM($C$4:C10)/SUM($B$4:B10)</f>
        <v>1.3162496826784756E-2</v>
      </c>
      <c r="AR10" s="182">
        <f>SUM($F$4:F10)/SUM($E$4:E10)</f>
        <v>2.7926279385369696E-2</v>
      </c>
      <c r="AS10" s="183">
        <f>SUM($I$4:I10)/SUM($H$4:H10)</f>
        <v>4.5467094488452153E-2</v>
      </c>
      <c r="AT10" s="184">
        <f>SUM($I$4:I10,$F$4:F10)/SUM($H$4:H10,$E$4:E10)</f>
        <v>3.4867667482309371E-2</v>
      </c>
      <c r="AU10" s="183">
        <f>SUM($I$4:I10,$F$4:F10,$C$4:C10)/SUM($H$4:H10,$E$4:E10,$B$4:B10)</f>
        <v>2.7938734715193866E-2</v>
      </c>
      <c r="AV10" s="181">
        <f t="shared" si="8"/>
        <v>0.98683750317321528</v>
      </c>
      <c r="AW10" s="182">
        <f t="shared" si="9"/>
        <v>0.97207372061463027</v>
      </c>
      <c r="AX10" s="183">
        <f t="shared" si="10"/>
        <v>0.9545329055115479</v>
      </c>
      <c r="AY10" s="184">
        <f t="shared" si="11"/>
        <v>0.96513233251769059</v>
      </c>
      <c r="AZ10" s="183">
        <f t="shared" si="12"/>
        <v>0.97206126528480619</v>
      </c>
    </row>
    <row r="11" spans="1:54" s="172" customFormat="1">
      <c r="A11" s="291">
        <v>37653</v>
      </c>
      <c r="B11" s="120">
        <v>4688.9399999999996</v>
      </c>
      <c r="C11" s="121">
        <v>68.8</v>
      </c>
      <c r="D11" s="292"/>
      <c r="E11" s="120">
        <v>6109.56</v>
      </c>
      <c r="F11" s="121">
        <v>204.73333333333332</v>
      </c>
      <c r="G11" s="292"/>
      <c r="H11" s="120">
        <v>3979</v>
      </c>
      <c r="I11" s="121">
        <v>86.8</v>
      </c>
      <c r="J11" s="292"/>
      <c r="K11" s="120">
        <f t="shared" si="13"/>
        <v>10088.560000000001</v>
      </c>
      <c r="L11" s="121">
        <f t="shared" si="14"/>
        <v>291.5333333333333</v>
      </c>
      <c r="M11" s="292"/>
      <c r="N11" s="120">
        <f t="shared" si="15"/>
        <v>14777.5</v>
      </c>
      <c r="O11" s="121">
        <f t="shared" si="16"/>
        <v>360.33333333333331</v>
      </c>
      <c r="P11" s="292"/>
      <c r="Q11" s="291">
        <v>37653</v>
      </c>
      <c r="R11" s="305">
        <f t="shared" si="0"/>
        <v>1.4672825841234907E-2</v>
      </c>
      <c r="S11" s="189">
        <f t="shared" si="1"/>
        <v>3.3510323711254709E-2</v>
      </c>
      <c r="T11" s="189">
        <f t="shared" si="2"/>
        <v>2.1814526262880121E-2</v>
      </c>
      <c r="U11" s="189">
        <f t="shared" si="3"/>
        <v>2.8897417801285144E-2</v>
      </c>
      <c r="V11" s="306">
        <f t="shared" si="17"/>
        <v>2.4383916990920882E-2</v>
      </c>
      <c r="W11" s="307"/>
      <c r="X11" s="305">
        <f t="shared" si="4"/>
        <v>0.98532717415876514</v>
      </c>
      <c r="Y11" s="305">
        <f t="shared" si="5"/>
        <v>0.96648967628874527</v>
      </c>
      <c r="Z11" s="305">
        <f t="shared" si="6"/>
        <v>0.97818547373711984</v>
      </c>
      <c r="AA11" s="305">
        <f t="shared" si="7"/>
        <v>0.97110258219871481</v>
      </c>
      <c r="AB11" s="306">
        <f t="shared" si="18"/>
        <v>0.97561608300907909</v>
      </c>
      <c r="AC11" s="171"/>
      <c r="AP11" s="170">
        <v>37653</v>
      </c>
      <c r="AQ11" s="181">
        <f>SUM($C$4:C11)/SUM($B$4:B11)</f>
        <v>1.3338916853545192E-2</v>
      </c>
      <c r="AR11" s="182">
        <f>SUM($F$4:F11)/SUM($E$4:E11)</f>
        <v>2.858494692080428E-2</v>
      </c>
      <c r="AS11" s="183">
        <f>SUM($I$4:I11)/SUM($H$4:H11)</f>
        <v>4.2690719216472946E-2</v>
      </c>
      <c r="AT11" s="184">
        <f>SUM($I$4:I11,$F$4:F11)/SUM($H$4:H11,$E$4:E11)</f>
        <v>3.4164799937513778E-2</v>
      </c>
      <c r="AU11" s="183">
        <f>SUM($I$4:I11,$F$4:F11,$C$4:C11)/SUM($H$4:H11,$E$4:E11,$B$4:B11)</f>
        <v>2.7521274468121741E-2</v>
      </c>
      <c r="AV11" s="181">
        <f t="shared" si="8"/>
        <v>0.98666108314645484</v>
      </c>
      <c r="AW11" s="182">
        <f t="shared" si="9"/>
        <v>0.97141505307919573</v>
      </c>
      <c r="AX11" s="183">
        <f t="shared" si="10"/>
        <v>0.95730928078352706</v>
      </c>
      <c r="AY11" s="184">
        <f t="shared" si="11"/>
        <v>0.96583520006248624</v>
      </c>
      <c r="AZ11" s="183">
        <f t="shared" si="12"/>
        <v>0.97247872553187831</v>
      </c>
      <c r="BA11" s="154"/>
      <c r="BB11" s="154"/>
    </row>
    <row r="12" spans="1:54">
      <c r="A12" s="291">
        <v>37681</v>
      </c>
      <c r="B12" s="120">
        <v>5154</v>
      </c>
      <c r="C12" s="121">
        <v>63.83</v>
      </c>
      <c r="D12" s="292"/>
      <c r="E12" s="120">
        <v>6636</v>
      </c>
      <c r="F12" s="121">
        <v>160.30000000000001</v>
      </c>
      <c r="G12" s="292"/>
      <c r="H12" s="120">
        <v>4249</v>
      </c>
      <c r="I12" s="121">
        <v>92.28</v>
      </c>
      <c r="J12" s="292"/>
      <c r="K12" s="120">
        <f t="shared" si="13"/>
        <v>10885</v>
      </c>
      <c r="L12" s="121">
        <f t="shared" si="14"/>
        <v>252.58</v>
      </c>
      <c r="M12" s="292"/>
      <c r="N12" s="120">
        <f t="shared" si="15"/>
        <v>16039</v>
      </c>
      <c r="O12" s="121">
        <f t="shared" si="16"/>
        <v>316.40999999999997</v>
      </c>
      <c r="P12" s="292"/>
      <c r="Q12" s="291">
        <v>37681</v>
      </c>
      <c r="R12" s="305">
        <f t="shared" si="0"/>
        <v>1.2384555684904928E-2</v>
      </c>
      <c r="S12" s="189">
        <f t="shared" si="1"/>
        <v>2.4156118143459918E-2</v>
      </c>
      <c r="T12" s="189">
        <f t="shared" si="2"/>
        <v>2.171805130618969E-2</v>
      </c>
      <c r="U12" s="189">
        <f t="shared" si="3"/>
        <v>2.3204409738171797E-2</v>
      </c>
      <c r="V12" s="306">
        <f t="shared" si="17"/>
        <v>1.9727539123386744E-2</v>
      </c>
      <c r="W12" s="307"/>
      <c r="X12" s="305">
        <f t="shared" si="4"/>
        <v>0.98761544431509507</v>
      </c>
      <c r="Y12" s="305">
        <f t="shared" si="5"/>
        <v>0.97584388185654003</v>
      </c>
      <c r="Z12" s="305">
        <f t="shared" si="6"/>
        <v>0.97828194869381035</v>
      </c>
      <c r="AA12" s="305">
        <f t="shared" si="7"/>
        <v>0.97679559026182816</v>
      </c>
      <c r="AB12" s="306">
        <f t="shared" si="18"/>
        <v>0.98027246087661324</v>
      </c>
      <c r="AC12" s="171"/>
      <c r="AP12" s="170">
        <v>37681</v>
      </c>
      <c r="AQ12" s="181">
        <f>SUM($C$4:C12)/SUM($B$4:B12)</f>
        <v>1.323032483706045E-2</v>
      </c>
      <c r="AR12" s="182">
        <f>SUM($F$4:F12)/SUM($E$4:E12)</f>
        <v>2.808197031421604E-2</v>
      </c>
      <c r="AS12" s="183">
        <f>SUM($I$4:I12)/SUM($H$4:H12)</f>
        <v>4.0354680577764958E-2</v>
      </c>
      <c r="AT12" s="184">
        <f>SUM($I$4:I12,$F$4:F12)/SUM($H$4:H12,$E$4:E12)</f>
        <v>3.2929496291240347E-2</v>
      </c>
      <c r="AU12" s="183">
        <f>SUM($I$4:I12,$F$4:F12,$C$4:C12)/SUM($H$4:H12,$E$4:E12,$B$4:B12)</f>
        <v>2.6640187865566635E-2</v>
      </c>
      <c r="AV12" s="181">
        <f t="shared" si="8"/>
        <v>0.98676967516293956</v>
      </c>
      <c r="AW12" s="182">
        <f t="shared" si="9"/>
        <v>0.971918029685784</v>
      </c>
      <c r="AX12" s="183">
        <f t="shared" si="10"/>
        <v>0.95964531942223508</v>
      </c>
      <c r="AY12" s="184">
        <f t="shared" si="11"/>
        <v>0.96707050370875969</v>
      </c>
      <c r="AZ12" s="183">
        <f t="shared" si="12"/>
        <v>0.97335981213443334</v>
      </c>
    </row>
    <row r="13" spans="1:54">
      <c r="A13" s="291">
        <v>37712</v>
      </c>
      <c r="B13" s="120">
        <v>5007</v>
      </c>
      <c r="C13" s="121">
        <v>70.03</v>
      </c>
      <c r="D13" s="292"/>
      <c r="E13" s="120">
        <v>6522</v>
      </c>
      <c r="F13" s="121">
        <v>141.6</v>
      </c>
      <c r="G13" s="292"/>
      <c r="H13" s="120">
        <v>4157</v>
      </c>
      <c r="I13" s="121">
        <v>116.25</v>
      </c>
      <c r="J13" s="292"/>
      <c r="K13" s="120">
        <f t="shared" si="13"/>
        <v>10679</v>
      </c>
      <c r="L13" s="121">
        <f t="shared" si="14"/>
        <v>257.85000000000002</v>
      </c>
      <c r="M13" s="292"/>
      <c r="N13" s="120">
        <f t="shared" si="15"/>
        <v>15686</v>
      </c>
      <c r="O13" s="121">
        <f t="shared" si="16"/>
        <v>327.88</v>
      </c>
      <c r="P13" s="292"/>
      <c r="Q13" s="291">
        <v>37712</v>
      </c>
      <c r="R13" s="305">
        <f t="shared" si="0"/>
        <v>1.3986419013381267E-2</v>
      </c>
      <c r="S13" s="189">
        <f t="shared" si="1"/>
        <v>2.1711131554737809E-2</v>
      </c>
      <c r="T13" s="189">
        <f t="shared" si="2"/>
        <v>2.7964878518162137E-2</v>
      </c>
      <c r="U13" s="189">
        <f t="shared" si="3"/>
        <v>2.4145519243374849E-2</v>
      </c>
      <c r="V13" s="306">
        <f t="shared" si="17"/>
        <v>2.0902715797526457E-2</v>
      </c>
      <c r="W13" s="307"/>
      <c r="X13" s="305">
        <f t="shared" si="4"/>
        <v>0.98601358098661873</v>
      </c>
      <c r="Y13" s="305">
        <f t="shared" si="5"/>
        <v>0.97828886844526219</v>
      </c>
      <c r="Z13" s="305">
        <f t="shared" si="6"/>
        <v>0.9720351214818379</v>
      </c>
      <c r="AA13" s="305">
        <f t="shared" si="7"/>
        <v>0.97585448075662518</v>
      </c>
      <c r="AB13" s="306">
        <f t="shared" si="18"/>
        <v>0.97909728420247355</v>
      </c>
      <c r="AC13" s="171"/>
      <c r="AP13" s="170">
        <v>37712</v>
      </c>
      <c r="AQ13" s="181">
        <f>SUM($C$4:C13)/SUM($B$4:B13)</f>
        <v>1.3305584126891985E-2</v>
      </c>
      <c r="AR13" s="182">
        <f>SUM($F$4:F13)/SUM($E$4:E13)</f>
        <v>2.7442273115335529E-2</v>
      </c>
      <c r="AS13" s="183">
        <f>SUM($I$4:I13)/SUM($H$4:H13)</f>
        <v>3.9137197428139182E-2</v>
      </c>
      <c r="AT13" s="184">
        <f>SUM($I$4:I13,$F$4:F13)/SUM($H$4:H13,$E$4:E13)</f>
        <v>3.2054927721023418E-2</v>
      </c>
      <c r="AU13" s="183">
        <f>SUM($I$4:I13,$F$4:F13,$C$4:C13)/SUM($H$4:H13,$E$4:E13,$B$4:B13)</f>
        <v>2.6068991487925797E-2</v>
      </c>
      <c r="AV13" s="181">
        <f t="shared" si="8"/>
        <v>0.98669441587310802</v>
      </c>
      <c r="AW13" s="182">
        <f t="shared" si="9"/>
        <v>0.97255772688466446</v>
      </c>
      <c r="AX13" s="183">
        <f t="shared" si="10"/>
        <v>0.96086280257186085</v>
      </c>
      <c r="AY13" s="184">
        <f t="shared" si="11"/>
        <v>0.96794507227897664</v>
      </c>
      <c r="AZ13" s="183">
        <f t="shared" si="12"/>
        <v>0.97393100851207426</v>
      </c>
    </row>
    <row r="14" spans="1:54">
      <c r="A14" s="291">
        <v>37742</v>
      </c>
      <c r="B14" s="120">
        <v>5174</v>
      </c>
      <c r="C14" s="121">
        <v>48.78</v>
      </c>
      <c r="D14" s="292"/>
      <c r="E14" s="120">
        <v>6483</v>
      </c>
      <c r="F14" s="121">
        <v>130.08000000000001</v>
      </c>
      <c r="G14" s="292"/>
      <c r="H14" s="120">
        <v>4209</v>
      </c>
      <c r="I14" s="121">
        <v>54.33</v>
      </c>
      <c r="J14" s="292"/>
      <c r="K14" s="120">
        <v>10692</v>
      </c>
      <c r="L14" s="121">
        <v>184.41</v>
      </c>
      <c r="M14" s="292"/>
      <c r="N14" s="120">
        <v>15866</v>
      </c>
      <c r="O14" s="121">
        <v>233.19</v>
      </c>
      <c r="P14" s="292"/>
      <c r="Q14" s="291">
        <v>37742</v>
      </c>
      <c r="R14" s="305">
        <v>9.4279087746424427E-3</v>
      </c>
      <c r="S14" s="189">
        <v>2.0064784821841743E-2</v>
      </c>
      <c r="T14" s="189">
        <v>1.2908054169636493E-2</v>
      </c>
      <c r="U14" s="189">
        <f t="shared" si="3"/>
        <v>1.7247474747474751E-2</v>
      </c>
      <c r="V14" s="306">
        <f t="shared" si="17"/>
        <v>1.4697466280095802E-2</v>
      </c>
      <c r="W14" s="307"/>
      <c r="X14" s="305">
        <v>0.99057209122535761</v>
      </c>
      <c r="Y14" s="305">
        <v>0.97993521517815829</v>
      </c>
      <c r="Z14" s="305">
        <v>0.98709194583036353</v>
      </c>
      <c r="AA14" s="305">
        <v>0.98275252525252521</v>
      </c>
      <c r="AB14" s="306">
        <f t="shared" si="18"/>
        <v>0.98530253371990417</v>
      </c>
      <c r="AC14" s="171"/>
      <c r="AP14" s="170"/>
      <c r="AQ14" s="181"/>
      <c r="AR14" s="182"/>
      <c r="AS14" s="183"/>
      <c r="AT14" s="184"/>
      <c r="AU14" s="183"/>
      <c r="AV14" s="181"/>
      <c r="AW14" s="182"/>
      <c r="AX14" s="183"/>
      <c r="AY14" s="184"/>
      <c r="AZ14" s="183"/>
    </row>
    <row r="15" spans="1:54" ht="12.75" thickBot="1">
      <c r="A15" s="294">
        <v>37773</v>
      </c>
      <c r="B15" s="295">
        <v>5058.8</v>
      </c>
      <c r="C15" s="296">
        <v>41.533333333333331</v>
      </c>
      <c r="D15" s="297"/>
      <c r="E15" s="295">
        <v>6495.95</v>
      </c>
      <c r="F15" s="296">
        <v>113.95</v>
      </c>
      <c r="G15" s="297"/>
      <c r="H15" s="295">
        <v>4096.5</v>
      </c>
      <c r="I15" s="296">
        <v>56.966666666666669</v>
      </c>
      <c r="J15" s="297"/>
      <c r="K15" s="295">
        <f>E15+H15</f>
        <v>10592.45</v>
      </c>
      <c r="L15" s="296">
        <f>F15+I15</f>
        <v>170.91666666666669</v>
      </c>
      <c r="M15" s="297"/>
      <c r="N15" s="295">
        <f>B15+E15+H15</f>
        <v>15651.25</v>
      </c>
      <c r="O15" s="296">
        <f>C15+F15+I15</f>
        <v>212.45000000000002</v>
      </c>
      <c r="P15" s="297"/>
      <c r="Q15" s="294">
        <v>37773</v>
      </c>
      <c r="R15" s="187">
        <v>8.2101157059645234E-3</v>
      </c>
      <c r="S15" s="188">
        <v>1.7541699058644233E-2</v>
      </c>
      <c r="T15" s="188">
        <v>1.3906180072419545E-2</v>
      </c>
      <c r="U15" s="188">
        <f t="shared" si="3"/>
        <v>1.6135706721926154E-2</v>
      </c>
      <c r="V15" s="309">
        <f>(C15+F15+I15)/(B15+E15+H15)</f>
        <v>1.3573995687245429E-2</v>
      </c>
      <c r="W15" s="308"/>
      <c r="X15" s="187">
        <v>0.99178988429403547</v>
      </c>
      <c r="Y15" s="187">
        <v>0.98245830094135578</v>
      </c>
      <c r="Z15" s="187">
        <v>0.98609381992758049</v>
      </c>
      <c r="AA15" s="187">
        <v>0.9838642932780739</v>
      </c>
      <c r="AB15" s="309">
        <f>1-((C15+F15+I15)/(B15+E15+H15))</f>
        <v>0.98642600431275462</v>
      </c>
      <c r="AC15" s="171"/>
      <c r="AP15" s="170"/>
      <c r="AQ15" s="181"/>
      <c r="AR15" s="182"/>
      <c r="AS15" s="183"/>
      <c r="AT15" s="184"/>
      <c r="AU15" s="183"/>
      <c r="AV15" s="181"/>
      <c r="AW15" s="182"/>
      <c r="AX15" s="183"/>
      <c r="AY15" s="184"/>
      <c r="AZ15" s="183"/>
    </row>
    <row r="16" spans="1:54">
      <c r="A16" s="175"/>
      <c r="B16" s="174"/>
      <c r="C16" s="174"/>
      <c r="D16" s="172"/>
      <c r="E16" s="174"/>
      <c r="F16" s="174"/>
      <c r="G16" s="172"/>
      <c r="H16" s="174"/>
      <c r="I16" s="174"/>
      <c r="J16" s="172"/>
      <c r="K16" s="174"/>
      <c r="L16" s="174"/>
      <c r="M16" s="172"/>
      <c r="N16" s="174"/>
      <c r="O16" s="174"/>
      <c r="P16" s="172"/>
      <c r="Q16" s="291"/>
      <c r="R16" s="194"/>
      <c r="S16" s="194"/>
      <c r="T16" s="194"/>
      <c r="U16" s="194"/>
      <c r="V16" s="314"/>
      <c r="W16" s="283"/>
      <c r="X16" s="172"/>
      <c r="Y16" s="172"/>
      <c r="Z16" s="172"/>
      <c r="AA16" s="172"/>
      <c r="AB16" s="172"/>
      <c r="AC16" s="284"/>
    </row>
    <row r="17" spans="1:54">
      <c r="A17" s="175"/>
      <c r="B17" s="174"/>
      <c r="C17" s="174"/>
      <c r="D17" s="172"/>
      <c r="E17" s="174"/>
      <c r="F17" s="174"/>
      <c r="G17" s="172"/>
      <c r="H17" s="174"/>
      <c r="I17" s="174"/>
      <c r="J17" s="172"/>
      <c r="K17" s="174"/>
      <c r="L17" s="174"/>
      <c r="M17" s="172"/>
      <c r="N17" s="174"/>
      <c r="O17" s="174"/>
      <c r="P17" s="172"/>
      <c r="Q17" s="291"/>
      <c r="R17" s="194"/>
      <c r="S17" s="194"/>
      <c r="T17" s="194"/>
      <c r="U17" s="194"/>
      <c r="V17" s="314"/>
      <c r="W17" s="283"/>
      <c r="X17" s="172"/>
      <c r="Y17" s="172"/>
      <c r="Z17" s="172"/>
      <c r="AA17" s="172"/>
      <c r="AB17" s="172"/>
      <c r="AC17" s="284"/>
    </row>
    <row r="18" spans="1:54" ht="12.75" thickBot="1">
      <c r="A18" s="173"/>
      <c r="B18" s="172"/>
      <c r="C18" s="172"/>
      <c r="D18" s="172"/>
      <c r="E18" s="174"/>
      <c r="F18" s="174"/>
      <c r="G18" s="172"/>
      <c r="H18" s="174"/>
      <c r="I18" s="172"/>
      <c r="J18" s="172"/>
      <c r="K18" s="172"/>
      <c r="L18" s="172"/>
      <c r="M18" s="172"/>
      <c r="N18" s="172"/>
      <c r="O18" s="172"/>
      <c r="P18" s="172"/>
      <c r="Q18" s="313"/>
      <c r="R18" s="194"/>
      <c r="S18" s="194"/>
      <c r="T18" s="194"/>
      <c r="U18" s="194"/>
      <c r="V18" s="314"/>
      <c r="W18" s="283"/>
      <c r="X18" s="172"/>
      <c r="Y18" s="172"/>
      <c r="Z18" s="172"/>
      <c r="AA18" s="172"/>
      <c r="AB18" s="172"/>
      <c r="AC18" s="285"/>
    </row>
    <row r="19" spans="1:54">
      <c r="A19" s="286" t="s">
        <v>93</v>
      </c>
      <c r="B19" s="287"/>
      <c r="C19" s="287"/>
      <c r="D19" s="288"/>
      <c r="E19" s="289"/>
      <c r="F19" s="289"/>
      <c r="G19" s="288"/>
      <c r="H19" s="289"/>
      <c r="I19" s="290"/>
      <c r="J19" s="288"/>
      <c r="K19" s="290"/>
      <c r="L19" s="290"/>
      <c r="M19" s="288"/>
      <c r="N19" s="290"/>
      <c r="O19" s="290"/>
      <c r="P19" s="288"/>
      <c r="Q19" s="286" t="s">
        <v>93</v>
      </c>
      <c r="R19" s="287"/>
      <c r="S19" s="287"/>
      <c r="T19" s="287"/>
      <c r="U19" s="287"/>
      <c r="V19" s="337"/>
      <c r="W19" s="310"/>
      <c r="X19" s="287"/>
      <c r="Y19" s="287"/>
      <c r="Z19" s="287"/>
      <c r="AA19" s="287"/>
      <c r="AB19" s="287"/>
      <c r="AC19" s="329"/>
    </row>
    <row r="20" spans="1:54">
      <c r="A20" s="291">
        <v>37438</v>
      </c>
      <c r="B20" s="120">
        <f>SUM($B$4:B4)</f>
        <v>5071</v>
      </c>
      <c r="C20" s="121">
        <f>SUM($C$4:C4)</f>
        <v>14.65</v>
      </c>
      <c r="D20" s="292"/>
      <c r="E20" s="120">
        <f>SUM($E$4:E4)</f>
        <v>6498</v>
      </c>
      <c r="F20" s="121">
        <f>SUM($F$4:F4)</f>
        <v>68.47</v>
      </c>
      <c r="G20" s="292"/>
      <c r="H20" s="120">
        <f>SUM($H$4:H4)</f>
        <v>4389</v>
      </c>
      <c r="I20" s="121">
        <f>SUM($I$4:I4)</f>
        <v>40.75</v>
      </c>
      <c r="J20" s="292"/>
      <c r="K20" s="120">
        <f>SUM($K$4:K4)</f>
        <v>10887</v>
      </c>
      <c r="L20" s="121">
        <f>SUM($L$4:L4)</f>
        <v>109.22</v>
      </c>
      <c r="M20" s="292"/>
      <c r="N20" s="120">
        <f>SUM($N$4:N4)</f>
        <v>15958</v>
      </c>
      <c r="O20" s="121">
        <f>SUM($O$4:O4)</f>
        <v>123.87</v>
      </c>
      <c r="P20" s="292"/>
      <c r="Q20" s="291">
        <v>37438</v>
      </c>
      <c r="R20" s="305">
        <f>C20/B20</f>
        <v>2.8889765332281601E-3</v>
      </c>
      <c r="S20" s="189">
        <f>F20/E20</f>
        <v>1.0537088334872269E-2</v>
      </c>
      <c r="T20" s="189">
        <f>I20/H20</f>
        <v>9.2845750740487582E-3</v>
      </c>
      <c r="U20" s="189">
        <f>(F20+I20)/(E20+H20)</f>
        <v>1.0032148433912005E-2</v>
      </c>
      <c r="V20" s="306">
        <f>(C20++F20+I20)/(B20+E20+H20)</f>
        <v>7.762250908635168E-3</v>
      </c>
      <c r="W20" s="307"/>
      <c r="X20" s="305">
        <f>1-(C20/B20)</f>
        <v>0.99711102346677183</v>
      </c>
      <c r="Y20" s="305">
        <f>1-(F20/E20)</f>
        <v>0.98946291166512768</v>
      </c>
      <c r="Z20" s="305">
        <f>1-(I20/H20)</f>
        <v>0.99071542492595122</v>
      </c>
      <c r="AA20" s="305">
        <f>1-((F20+I20)/(E20+H20))</f>
        <v>0.98996785156608802</v>
      </c>
      <c r="AB20" s="189">
        <f>1-((C20+F20+I20)/(B20+E20+H20))</f>
        <v>0.99223774909136486</v>
      </c>
      <c r="AC20" s="330"/>
    </row>
    <row r="21" spans="1:54">
      <c r="A21" s="291">
        <v>37469</v>
      </c>
      <c r="B21" s="120">
        <f>SUM($B$4:B5)</f>
        <v>10099</v>
      </c>
      <c r="C21" s="121">
        <f>SUM($C$4:C5)</f>
        <v>42.9</v>
      </c>
      <c r="D21" s="292"/>
      <c r="E21" s="120">
        <f>SUM($E$4:E5)</f>
        <v>12997</v>
      </c>
      <c r="F21" s="121">
        <f>SUM($F$4:F5)</f>
        <v>222.52</v>
      </c>
      <c r="G21" s="292"/>
      <c r="H21" s="120">
        <f>SUM($H$4:H5)</f>
        <v>8642</v>
      </c>
      <c r="I21" s="121">
        <f>SUM($I$4:I5)</f>
        <v>425.05</v>
      </c>
      <c r="J21" s="292"/>
      <c r="K21" s="120">
        <f>SUM($K$4:K5)</f>
        <v>21639</v>
      </c>
      <c r="L21" s="121">
        <f>SUM($L$4:L5)</f>
        <v>647.57000000000005</v>
      </c>
      <c r="M21" s="292"/>
      <c r="N21" s="120">
        <f>SUM($N$4:N5)</f>
        <v>31738</v>
      </c>
      <c r="O21" s="121">
        <f>SUM($O$4:O5)</f>
        <v>690.47</v>
      </c>
      <c r="P21" s="292"/>
      <c r="Q21" s="291">
        <v>37469</v>
      </c>
      <c r="R21" s="305">
        <f t="shared" ref="R21:R29" si="19">C21/B21</f>
        <v>4.2479453411228829E-3</v>
      </c>
      <c r="S21" s="189">
        <f t="shared" ref="S21:S29" si="20">F21/E21</f>
        <v>1.7120874047857199E-2</v>
      </c>
      <c r="T21" s="189">
        <f t="shared" ref="T21:T29" si="21">I21/H21</f>
        <v>4.9184216616523953E-2</v>
      </c>
      <c r="U21" s="189">
        <f t="shared" ref="U21:U29" si="22">(F21+I21)/(E21+H21)</f>
        <v>2.9926059429733354E-2</v>
      </c>
      <c r="V21" s="306">
        <f t="shared" ref="V21:V29" si="23">(C21++F21+I21)/(B21+E21+H21)</f>
        <v>2.175530909320058E-2</v>
      </c>
      <c r="W21" s="307"/>
      <c r="X21" s="305">
        <f t="shared" ref="X21:X29" si="24">1-(C21/B21)</f>
        <v>0.99575205465887717</v>
      </c>
      <c r="Y21" s="305">
        <f t="shared" ref="Y21:Y29" si="25">1-(F21/E21)</f>
        <v>0.98287912595214277</v>
      </c>
      <c r="Z21" s="305">
        <f t="shared" ref="Z21:Z31" si="26">1-(I21/H21)</f>
        <v>0.95081578338347605</v>
      </c>
      <c r="AA21" s="305">
        <f t="shared" ref="AA21:AA31" si="27">1-((F21+I21)/(E21+H21))</f>
        <v>0.97007394057026664</v>
      </c>
      <c r="AB21" s="189">
        <f t="shared" ref="AB21:AB31" si="28">1-((C21+F21+I21)/(B21+E21+H21))</f>
        <v>0.97824469090679944</v>
      </c>
      <c r="AC21" s="330"/>
    </row>
    <row r="22" spans="1:54">
      <c r="A22" s="291">
        <v>37500</v>
      </c>
      <c r="B22" s="120">
        <f>SUM($B$4:B6)</f>
        <v>14936</v>
      </c>
      <c r="C22" s="121">
        <f>SUM($C$4:C6)</f>
        <v>109.47999999999999</v>
      </c>
      <c r="D22" s="292"/>
      <c r="E22" s="120">
        <f>SUM($E$4:E6)</f>
        <v>19213</v>
      </c>
      <c r="F22" s="121">
        <f>SUM($F$4:F6)</f>
        <v>410.72</v>
      </c>
      <c r="G22" s="292"/>
      <c r="H22" s="120">
        <f>SUM($H$4:H6)</f>
        <v>12713</v>
      </c>
      <c r="I22" s="121">
        <f>SUM($I$4:I6)</f>
        <v>868.90000000000009</v>
      </c>
      <c r="J22" s="292"/>
      <c r="K22" s="120">
        <f>SUM($K$4:K6)</f>
        <v>31926</v>
      </c>
      <c r="L22" s="121">
        <f>SUM($L$4:L6)</f>
        <v>1279.6199999999999</v>
      </c>
      <c r="M22" s="292"/>
      <c r="N22" s="120">
        <f>SUM($N$4:N6)</f>
        <v>46862</v>
      </c>
      <c r="O22" s="121">
        <f>SUM($O$4:O6)</f>
        <v>1389.1</v>
      </c>
      <c r="P22" s="292"/>
      <c r="Q22" s="291">
        <v>37500</v>
      </c>
      <c r="R22" s="305">
        <f t="shared" si="19"/>
        <v>7.3299410819496515E-3</v>
      </c>
      <c r="S22" s="189">
        <f t="shared" si="20"/>
        <v>2.1377192525893929E-2</v>
      </c>
      <c r="T22" s="189">
        <f t="shared" si="21"/>
        <v>6.8347360969086765E-2</v>
      </c>
      <c r="U22" s="189">
        <f t="shared" si="22"/>
        <v>4.0080811877466642E-2</v>
      </c>
      <c r="V22" s="306">
        <f t="shared" si="23"/>
        <v>2.9642354146216552E-2</v>
      </c>
      <c r="W22" s="307"/>
      <c r="X22" s="305">
        <f t="shared" si="24"/>
        <v>0.99267005891805038</v>
      </c>
      <c r="Y22" s="305">
        <f t="shared" si="25"/>
        <v>0.97862280747410613</v>
      </c>
      <c r="Z22" s="305">
        <f t="shared" si="26"/>
        <v>0.93165263903091322</v>
      </c>
      <c r="AA22" s="305">
        <f t="shared" si="27"/>
        <v>0.95991918812253341</v>
      </c>
      <c r="AB22" s="189">
        <f t="shared" si="28"/>
        <v>0.97035764585378348</v>
      </c>
      <c r="AC22" s="330"/>
    </row>
    <row r="23" spans="1:54">
      <c r="A23" s="291">
        <v>37530</v>
      </c>
      <c r="B23" s="120">
        <f>SUM($B$4:B7)</f>
        <v>20058</v>
      </c>
      <c r="C23" s="121">
        <f>SUM($C$4:C7)</f>
        <v>136.29999999999998</v>
      </c>
      <c r="D23" s="292"/>
      <c r="E23" s="120">
        <f>SUM($E$4:E7)</f>
        <v>25893</v>
      </c>
      <c r="F23" s="121">
        <f>SUM($F$4:F7)</f>
        <v>566.74</v>
      </c>
      <c r="G23" s="292"/>
      <c r="H23" s="120">
        <f>SUM($H$4:H7)</f>
        <v>17109</v>
      </c>
      <c r="I23" s="121">
        <f>SUM($I$4:I7)</f>
        <v>962.72</v>
      </c>
      <c r="J23" s="292"/>
      <c r="K23" s="120">
        <f>SUM($K$4:K7)</f>
        <v>43002</v>
      </c>
      <c r="L23" s="121">
        <f>SUM($L$4:L7)</f>
        <v>1529.4599999999998</v>
      </c>
      <c r="M23" s="292"/>
      <c r="N23" s="120">
        <f>SUM($N$4:N7)</f>
        <v>63060</v>
      </c>
      <c r="O23" s="121">
        <f>SUM($O$4:O7)</f>
        <v>1665.7599999999998</v>
      </c>
      <c r="P23" s="292"/>
      <c r="Q23" s="291">
        <v>37530</v>
      </c>
      <c r="R23" s="305">
        <f t="shared" si="19"/>
        <v>6.7952936484195828E-3</v>
      </c>
      <c r="S23" s="189">
        <f t="shared" si="20"/>
        <v>2.1887768895068164E-2</v>
      </c>
      <c r="T23" s="189">
        <f t="shared" si="21"/>
        <v>5.6269799520720087E-2</v>
      </c>
      <c r="U23" s="189">
        <f t="shared" si="22"/>
        <v>3.5567182921724574E-2</v>
      </c>
      <c r="V23" s="306">
        <f t="shared" si="23"/>
        <v>2.6415477323184267E-2</v>
      </c>
      <c r="W23" s="307"/>
      <c r="X23" s="305">
        <f t="shared" si="24"/>
        <v>0.99320470635158042</v>
      </c>
      <c r="Y23" s="305">
        <f t="shared" si="25"/>
        <v>0.97811223110493184</v>
      </c>
      <c r="Z23" s="305">
        <f t="shared" si="26"/>
        <v>0.94373020047927991</v>
      </c>
      <c r="AA23" s="305">
        <f t="shared" si="27"/>
        <v>0.96443281707827544</v>
      </c>
      <c r="AB23" s="189">
        <f t="shared" si="28"/>
        <v>0.97358452267681572</v>
      </c>
      <c r="AC23" s="330"/>
    </row>
    <row r="24" spans="1:54">
      <c r="A24" s="291">
        <v>37561</v>
      </c>
      <c r="B24" s="120">
        <f>SUM($B$4:B8)</f>
        <v>25061</v>
      </c>
      <c r="C24" s="121">
        <f>SUM($C$4:C8)</f>
        <v>270.66999999999996</v>
      </c>
      <c r="D24" s="292"/>
      <c r="E24" s="120">
        <f>SUM($E$4:E8)</f>
        <v>32339</v>
      </c>
      <c r="F24" s="121">
        <f>SUM($F$4:F8)</f>
        <v>862.22</v>
      </c>
      <c r="G24" s="292"/>
      <c r="H24" s="120">
        <f>SUM($H$4:H8)</f>
        <v>21207</v>
      </c>
      <c r="I24" s="121">
        <f>SUM($I$4:I8)</f>
        <v>1161.5999999999999</v>
      </c>
      <c r="J24" s="292"/>
      <c r="K24" s="120">
        <f>SUM($K$4:K8)</f>
        <v>53546</v>
      </c>
      <c r="L24" s="121">
        <f>SUM($L$4:L8)</f>
        <v>2023.8199999999997</v>
      </c>
      <c r="M24" s="292"/>
      <c r="N24" s="120">
        <f>SUM($N$4:N8)</f>
        <v>78607</v>
      </c>
      <c r="O24" s="121">
        <f>SUM($O$4:O8)</f>
        <v>2294.4899999999998</v>
      </c>
      <c r="P24" s="292"/>
      <c r="Q24" s="291">
        <v>37561</v>
      </c>
      <c r="R24" s="305">
        <f t="shared" si="19"/>
        <v>1.0800446909540719E-2</v>
      </c>
      <c r="S24" s="189">
        <f t="shared" si="20"/>
        <v>2.6661925229598937E-2</v>
      </c>
      <c r="T24" s="189">
        <f t="shared" si="21"/>
        <v>5.4774366954307534E-2</v>
      </c>
      <c r="U24" s="189">
        <f t="shared" si="22"/>
        <v>3.7795913793747429E-2</v>
      </c>
      <c r="V24" s="306">
        <f t="shared" si="23"/>
        <v>2.9189385169259733E-2</v>
      </c>
      <c r="W24" s="307"/>
      <c r="X24" s="305">
        <f t="shared" si="24"/>
        <v>0.98919955309045926</v>
      </c>
      <c r="Y24" s="305">
        <f t="shared" si="25"/>
        <v>0.97333807477040102</v>
      </c>
      <c r="Z24" s="305">
        <f t="shared" si="26"/>
        <v>0.94522563304569251</v>
      </c>
      <c r="AA24" s="305">
        <f t="shared" si="27"/>
        <v>0.96220408620625253</v>
      </c>
      <c r="AB24" s="189">
        <f t="shared" si="28"/>
        <v>0.97081061483074027</v>
      </c>
      <c r="AC24" s="330"/>
    </row>
    <row r="25" spans="1:54">
      <c r="A25" s="291">
        <v>37591</v>
      </c>
      <c r="B25" s="120">
        <f>SUM($B$4:B9)</f>
        <v>30254</v>
      </c>
      <c r="C25" s="121">
        <f>SUM($C$4:C9)</f>
        <v>409.36999999999995</v>
      </c>
      <c r="D25" s="292"/>
      <c r="E25" s="120">
        <f>SUM($E$4:E9)</f>
        <v>38979</v>
      </c>
      <c r="F25" s="121">
        <f>SUM($F$4:F9)</f>
        <v>1026.32</v>
      </c>
      <c r="G25" s="292"/>
      <c r="H25" s="120">
        <f>SUM($H$4:H9)</f>
        <v>25531</v>
      </c>
      <c r="I25" s="121">
        <f>SUM($I$4:I9)</f>
        <v>1266.33</v>
      </c>
      <c r="J25" s="292"/>
      <c r="K25" s="120">
        <f>SUM($K$4:K9)</f>
        <v>64510</v>
      </c>
      <c r="L25" s="121">
        <f>SUM($L$4:L9)</f>
        <v>2292.6499999999996</v>
      </c>
      <c r="M25" s="292"/>
      <c r="N25" s="120">
        <f>SUM($N$4:N9)</f>
        <v>94764</v>
      </c>
      <c r="O25" s="121">
        <f>SUM($O$4:O9)</f>
        <v>2702.0199999999995</v>
      </c>
      <c r="P25" s="292"/>
      <c r="Q25" s="291">
        <v>37591</v>
      </c>
      <c r="R25" s="305">
        <f t="shared" si="19"/>
        <v>1.3531103325180139E-2</v>
      </c>
      <c r="S25" s="189">
        <f t="shared" si="20"/>
        <v>2.6330075168680571E-2</v>
      </c>
      <c r="T25" s="189">
        <f t="shared" si="21"/>
        <v>4.9599702322666563E-2</v>
      </c>
      <c r="U25" s="189">
        <f t="shared" si="22"/>
        <v>3.5539451247868545E-2</v>
      </c>
      <c r="V25" s="306">
        <f t="shared" si="23"/>
        <v>2.8513148452999026E-2</v>
      </c>
      <c r="W25" s="307"/>
      <c r="X25" s="305">
        <f t="shared" si="24"/>
        <v>0.98646889667481985</v>
      </c>
      <c r="Y25" s="305">
        <f t="shared" si="25"/>
        <v>0.97366992483131942</v>
      </c>
      <c r="Z25" s="305">
        <f t="shared" si="26"/>
        <v>0.95040029767733347</v>
      </c>
      <c r="AA25" s="305">
        <f t="shared" si="27"/>
        <v>0.9644605487521315</v>
      </c>
      <c r="AB25" s="189">
        <f t="shared" si="28"/>
        <v>0.97148685154700098</v>
      </c>
      <c r="AC25" s="330"/>
    </row>
    <row r="26" spans="1:54">
      <c r="A26" s="291">
        <v>37622</v>
      </c>
      <c r="B26" s="120">
        <f>SUM($B$4:B10)</f>
        <v>35453</v>
      </c>
      <c r="C26" s="121">
        <f>SUM($C$4:C10)</f>
        <v>466.65</v>
      </c>
      <c r="D26" s="293"/>
      <c r="E26" s="120">
        <f>SUM($E$4:E10)</f>
        <v>45686</v>
      </c>
      <c r="F26" s="121">
        <f>SUM($F$4:F10)</f>
        <v>1275.8399999999999</v>
      </c>
      <c r="G26" s="293"/>
      <c r="H26" s="120">
        <f>SUM($H$4:H10)</f>
        <v>29919</v>
      </c>
      <c r="I26" s="121">
        <f>SUM($I$4:I10)</f>
        <v>1360.33</v>
      </c>
      <c r="J26" s="293"/>
      <c r="K26" s="120">
        <f>SUM($K$4:K10)</f>
        <v>75605</v>
      </c>
      <c r="L26" s="121">
        <f>SUM($L$4:L10)</f>
        <v>2636.1699999999996</v>
      </c>
      <c r="M26" s="293"/>
      <c r="N26" s="120">
        <f>SUM($N$4:N10)</f>
        <v>111058</v>
      </c>
      <c r="O26" s="121">
        <f>SUM($O$4:O10)</f>
        <v>3102.8199999999997</v>
      </c>
      <c r="P26" s="292"/>
      <c r="Q26" s="291">
        <v>37622</v>
      </c>
      <c r="R26" s="305">
        <f t="shared" si="19"/>
        <v>1.3162496826784756E-2</v>
      </c>
      <c r="S26" s="189">
        <f t="shared" si="20"/>
        <v>2.7926279385369696E-2</v>
      </c>
      <c r="T26" s="189">
        <f t="shared" si="21"/>
        <v>4.5467094488452153E-2</v>
      </c>
      <c r="U26" s="189">
        <f t="shared" si="22"/>
        <v>3.4867667482309371E-2</v>
      </c>
      <c r="V26" s="306">
        <f t="shared" si="23"/>
        <v>2.7938734715193859E-2</v>
      </c>
      <c r="W26" s="307"/>
      <c r="X26" s="305">
        <f t="shared" si="24"/>
        <v>0.98683750317321528</v>
      </c>
      <c r="Y26" s="305">
        <f t="shared" si="25"/>
        <v>0.97207372061463027</v>
      </c>
      <c r="Z26" s="305">
        <f t="shared" si="26"/>
        <v>0.9545329055115479</v>
      </c>
      <c r="AA26" s="305">
        <f t="shared" si="27"/>
        <v>0.96513233251769059</v>
      </c>
      <c r="AB26" s="189">
        <f t="shared" si="28"/>
        <v>0.97206126528480619</v>
      </c>
      <c r="AC26" s="330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</row>
    <row r="27" spans="1:54" s="172" customFormat="1">
      <c r="A27" s="291">
        <v>37653</v>
      </c>
      <c r="B27" s="120">
        <f>SUM($B$4:B11)</f>
        <v>40141.94</v>
      </c>
      <c r="C27" s="121">
        <f>SUM($C$4:C11)</f>
        <v>535.44999999999993</v>
      </c>
      <c r="D27" s="292"/>
      <c r="E27" s="120">
        <f>SUM($E$4:E11)</f>
        <v>51795.56</v>
      </c>
      <c r="F27" s="121">
        <f>SUM($F$4:F11)</f>
        <v>1480.5733333333333</v>
      </c>
      <c r="G27" s="292"/>
      <c r="H27" s="120">
        <f>SUM($H$4:H11)</f>
        <v>33898</v>
      </c>
      <c r="I27" s="121">
        <f>SUM($I$4:I11)</f>
        <v>1447.1299999999999</v>
      </c>
      <c r="J27" s="292"/>
      <c r="K27" s="120">
        <f>SUM($K$4:K11)</f>
        <v>85693.56</v>
      </c>
      <c r="L27" s="121">
        <f>SUM($L$4:L11)</f>
        <v>2927.7033333333329</v>
      </c>
      <c r="M27" s="292"/>
      <c r="N27" s="120">
        <f>SUM($N$4:N11)</f>
        <v>125835.5</v>
      </c>
      <c r="O27" s="121">
        <f>SUM($O$4:O11)</f>
        <v>3463.1533333333332</v>
      </c>
      <c r="P27" s="292"/>
      <c r="Q27" s="291">
        <v>37653</v>
      </c>
      <c r="R27" s="305">
        <f t="shared" si="19"/>
        <v>1.3338916853545192E-2</v>
      </c>
      <c r="S27" s="189">
        <f t="shared" si="20"/>
        <v>2.858494692080428E-2</v>
      </c>
      <c r="T27" s="189">
        <f t="shared" si="21"/>
        <v>4.2690719216472946E-2</v>
      </c>
      <c r="U27" s="189">
        <f t="shared" si="22"/>
        <v>3.4164799937513778E-2</v>
      </c>
      <c r="V27" s="306">
        <f t="shared" si="23"/>
        <v>2.7521274468121738E-2</v>
      </c>
      <c r="W27" s="307"/>
      <c r="X27" s="305">
        <f t="shared" si="24"/>
        <v>0.98666108314645484</v>
      </c>
      <c r="Y27" s="305">
        <f t="shared" si="25"/>
        <v>0.97141505307919573</v>
      </c>
      <c r="Z27" s="305">
        <f t="shared" si="26"/>
        <v>0.95730928078352706</v>
      </c>
      <c r="AA27" s="305">
        <f t="shared" si="27"/>
        <v>0.96583520006248624</v>
      </c>
      <c r="AB27" s="189">
        <f t="shared" si="28"/>
        <v>0.97247872553187831</v>
      </c>
      <c r="AC27" s="330"/>
      <c r="AE27" s="196"/>
      <c r="AF27" s="196"/>
      <c r="AG27" s="196"/>
      <c r="AH27" s="196"/>
      <c r="AI27" s="196"/>
      <c r="AJ27" s="196"/>
      <c r="AK27" s="276"/>
      <c r="AL27" s="197"/>
      <c r="AM27" s="197"/>
      <c r="AN27" s="197"/>
      <c r="AO27" s="197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</row>
    <row r="28" spans="1:54">
      <c r="A28" s="291">
        <v>37681</v>
      </c>
      <c r="B28" s="120">
        <f>SUM($B$4:B12)</f>
        <v>45295.94</v>
      </c>
      <c r="C28" s="121">
        <f>SUM($C$4:C12)</f>
        <v>599.28</v>
      </c>
      <c r="D28" s="292"/>
      <c r="E28" s="120">
        <f>SUM($E$4:E12)</f>
        <v>58431.56</v>
      </c>
      <c r="F28" s="121">
        <f>SUM($F$4:F12)</f>
        <v>1640.8733333333332</v>
      </c>
      <c r="G28" s="292"/>
      <c r="H28" s="120">
        <f>SUM($H$4:H12)</f>
        <v>38147</v>
      </c>
      <c r="I28" s="121">
        <f>SUM($I$4:I12)</f>
        <v>1539.4099999999999</v>
      </c>
      <c r="J28" s="292"/>
      <c r="K28" s="120">
        <f>SUM($K$4:K12)</f>
        <v>96578.559999999998</v>
      </c>
      <c r="L28" s="121">
        <f>SUM($L$4:L12)</f>
        <v>3180.2833333333328</v>
      </c>
      <c r="M28" s="292"/>
      <c r="N28" s="120">
        <f>SUM($N$4:N12)</f>
        <v>141874.5</v>
      </c>
      <c r="O28" s="121">
        <f>SUM($O$4:O12)</f>
        <v>3779.563333333333</v>
      </c>
      <c r="P28" s="292"/>
      <c r="Q28" s="291">
        <v>37681</v>
      </c>
      <c r="R28" s="305">
        <f t="shared" si="19"/>
        <v>1.323032483706045E-2</v>
      </c>
      <c r="S28" s="189">
        <f t="shared" si="20"/>
        <v>2.808197031421604E-2</v>
      </c>
      <c r="T28" s="189">
        <f t="shared" si="21"/>
        <v>4.0354680577764958E-2</v>
      </c>
      <c r="U28" s="189">
        <f t="shared" si="22"/>
        <v>3.292949629124034E-2</v>
      </c>
      <c r="V28" s="306">
        <f t="shared" si="23"/>
        <v>2.6640187865566631E-2</v>
      </c>
      <c r="W28" s="307"/>
      <c r="X28" s="305">
        <f t="shared" si="24"/>
        <v>0.98676967516293956</v>
      </c>
      <c r="Y28" s="305">
        <f t="shared" si="25"/>
        <v>0.971918029685784</v>
      </c>
      <c r="Z28" s="305">
        <f t="shared" si="26"/>
        <v>0.95964531942223508</v>
      </c>
      <c r="AA28" s="305">
        <f t="shared" si="27"/>
        <v>0.96707050370875969</v>
      </c>
      <c r="AB28" s="189">
        <f t="shared" si="28"/>
        <v>0.97335981213443334</v>
      </c>
      <c r="AC28" s="330"/>
      <c r="AE28" s="196"/>
      <c r="AF28" s="196"/>
      <c r="AG28" s="196"/>
      <c r="AH28" s="196"/>
      <c r="AI28" s="196"/>
      <c r="AJ28" s="196"/>
      <c r="AK28" s="276"/>
      <c r="AL28" s="197"/>
      <c r="AM28" s="197"/>
      <c r="AN28" s="197"/>
      <c r="AO28" s="197"/>
    </row>
    <row r="29" spans="1:54">
      <c r="A29" s="291">
        <v>37712</v>
      </c>
      <c r="B29" s="120">
        <f>SUM($B$4:B13)</f>
        <v>50302.94</v>
      </c>
      <c r="C29" s="121">
        <f>SUM($C$4:C13)</f>
        <v>669.31</v>
      </c>
      <c r="D29" s="292"/>
      <c r="E29" s="120">
        <f>SUM($E$4:E13)</f>
        <v>64953.56</v>
      </c>
      <c r="F29" s="121">
        <f>SUM($F$4:F13)</f>
        <v>1782.4733333333331</v>
      </c>
      <c r="G29" s="292"/>
      <c r="H29" s="120">
        <f>SUM($H$4:H13)</f>
        <v>42304</v>
      </c>
      <c r="I29" s="121">
        <f>SUM($I$4:I13)</f>
        <v>1655.6599999999999</v>
      </c>
      <c r="J29" s="292"/>
      <c r="K29" s="120">
        <f>SUM($K$4:K13)</f>
        <v>107257.56</v>
      </c>
      <c r="L29" s="121">
        <f>SUM($L$4:L13)</f>
        <v>3438.1333333333328</v>
      </c>
      <c r="M29" s="292"/>
      <c r="N29" s="120">
        <f>SUM($N$4:N13)</f>
        <v>157560.5</v>
      </c>
      <c r="O29" s="121">
        <f>SUM($O$4:O13)</f>
        <v>4107.4433333333327</v>
      </c>
      <c r="P29" s="292"/>
      <c r="Q29" s="291">
        <v>37712</v>
      </c>
      <c r="R29" s="305">
        <f t="shared" si="19"/>
        <v>1.3305584126891985E-2</v>
      </c>
      <c r="S29" s="189">
        <f t="shared" si="20"/>
        <v>2.7442273115335529E-2</v>
      </c>
      <c r="T29" s="189">
        <f t="shared" si="21"/>
        <v>3.9137197428139182E-2</v>
      </c>
      <c r="U29" s="189">
        <f t="shared" si="22"/>
        <v>3.2054927721023425E-2</v>
      </c>
      <c r="V29" s="306">
        <f t="shared" si="23"/>
        <v>2.6068991487925797E-2</v>
      </c>
      <c r="W29" s="307"/>
      <c r="X29" s="305">
        <f t="shared" si="24"/>
        <v>0.98669441587310802</v>
      </c>
      <c r="Y29" s="305">
        <f t="shared" si="25"/>
        <v>0.97255772688466446</v>
      </c>
      <c r="Z29" s="305">
        <f t="shared" si="26"/>
        <v>0.96086280257186085</v>
      </c>
      <c r="AA29" s="305">
        <f t="shared" si="27"/>
        <v>0.96794507227897653</v>
      </c>
      <c r="AB29" s="189">
        <f t="shared" si="28"/>
        <v>0.97393100851207426</v>
      </c>
      <c r="AC29" s="330"/>
      <c r="AE29" s="196"/>
      <c r="AF29" s="196"/>
      <c r="AG29" s="196"/>
      <c r="AH29" s="196"/>
      <c r="AI29" s="196"/>
      <c r="AJ29" s="196"/>
      <c r="AK29" s="276"/>
      <c r="AL29" s="197"/>
      <c r="AM29" s="197"/>
      <c r="AN29" s="197"/>
      <c r="AO29" s="197"/>
    </row>
    <row r="30" spans="1:54">
      <c r="A30" s="291">
        <v>37742</v>
      </c>
      <c r="B30" s="120">
        <v>55476.94</v>
      </c>
      <c r="C30" s="121">
        <v>718.09</v>
      </c>
      <c r="D30" s="292"/>
      <c r="E30" s="120">
        <v>71436.56</v>
      </c>
      <c r="F30" s="121">
        <v>1912.5533333333331</v>
      </c>
      <c r="G30" s="292"/>
      <c r="H30" s="120">
        <v>46513</v>
      </c>
      <c r="I30" s="121">
        <v>1709.99</v>
      </c>
      <c r="J30" s="292"/>
      <c r="K30" s="120">
        <v>117949.56</v>
      </c>
      <c r="L30" s="121">
        <v>3622.5433333333326</v>
      </c>
      <c r="M30" s="292"/>
      <c r="N30" s="120">
        <v>173426.5</v>
      </c>
      <c r="O30" s="121">
        <v>4340.6333333333323</v>
      </c>
      <c r="P30" s="292"/>
      <c r="Q30" s="291">
        <v>37742</v>
      </c>
      <c r="R30" s="305">
        <f>C30/B30</f>
        <v>1.2943936705953861E-2</v>
      </c>
      <c r="S30" s="189">
        <f>F30/E30</f>
        <v>2.6772752402038021E-2</v>
      </c>
      <c r="T30" s="189">
        <f>I30/H30</f>
        <v>3.676370047083611E-2</v>
      </c>
      <c r="U30" s="189">
        <f>(F30+I30)/(E30+H30)</f>
        <v>3.0712648129703351E-2</v>
      </c>
      <c r="V30" s="306">
        <f>(C30++F30+I30)/(B30+E30+H30)</f>
        <v>2.5028662478533172E-2</v>
      </c>
      <c r="W30" s="307"/>
      <c r="X30" s="305">
        <f>1-(C30/B30)</f>
        <v>0.98705606329404616</v>
      </c>
      <c r="Y30" s="305">
        <f>1-(F30/E30)</f>
        <v>0.97322724759796198</v>
      </c>
      <c r="Z30" s="305">
        <f t="shared" si="26"/>
        <v>0.9632362995291639</v>
      </c>
      <c r="AA30" s="305">
        <f t="shared" si="27"/>
        <v>0.96928735187029669</v>
      </c>
      <c r="AB30" s="189">
        <f t="shared" si="28"/>
        <v>0.97497133752146681</v>
      </c>
      <c r="AC30" s="330"/>
      <c r="AE30" s="196"/>
      <c r="AF30" s="196"/>
      <c r="AG30" s="196"/>
      <c r="AH30" s="196"/>
      <c r="AI30" s="196"/>
      <c r="AJ30" s="196"/>
      <c r="AK30" s="276"/>
      <c r="AL30" s="197"/>
      <c r="AM30" s="197"/>
      <c r="AN30" s="197"/>
      <c r="AO30" s="197"/>
    </row>
    <row r="31" spans="1:54" ht="12.75" thickBot="1">
      <c r="A31" s="294">
        <v>37773</v>
      </c>
      <c r="B31" s="295">
        <f>SUM(B4:B15)</f>
        <v>60535.740000000005</v>
      </c>
      <c r="C31" s="296">
        <f>SUM(C4:C15)</f>
        <v>759.62333333333322</v>
      </c>
      <c r="D31" s="297"/>
      <c r="E31" s="295">
        <f>SUM(E4:E15)</f>
        <v>77932.509999999995</v>
      </c>
      <c r="F31" s="296">
        <f>SUM(F4:F15)</f>
        <v>2026.5033333333331</v>
      </c>
      <c r="G31" s="297"/>
      <c r="H31" s="295">
        <f>SUM(H4:H15)</f>
        <v>50609.5</v>
      </c>
      <c r="I31" s="296">
        <f>SUM(I4:I15)</f>
        <v>1766.9566666666665</v>
      </c>
      <c r="J31" s="297"/>
      <c r="K31" s="295">
        <f>SUM(K4:K15)</f>
        <v>128542.01</v>
      </c>
      <c r="L31" s="296">
        <f>SUM(L4:L15)</f>
        <v>3793.4599999999991</v>
      </c>
      <c r="M31" s="297"/>
      <c r="N31" s="295">
        <f>SUM(N4:N15)</f>
        <v>189077.75</v>
      </c>
      <c r="O31" s="296">
        <f>SUM(O4:O15)</f>
        <v>4553.0833333333321</v>
      </c>
      <c r="P31" s="297"/>
      <c r="Q31" s="294">
        <v>37773</v>
      </c>
      <c r="R31" s="187">
        <f>C31/B31</f>
        <v>1.2548344718893883E-2</v>
      </c>
      <c r="S31" s="188">
        <f>F31/E31</f>
        <v>2.6003311497773306E-2</v>
      </c>
      <c r="T31" s="188">
        <f>I31/H31</f>
        <v>3.4913537313481985E-2</v>
      </c>
      <c r="U31" s="188">
        <f>(F31+I31)/(E31+H31)</f>
        <v>2.9511441434594027E-2</v>
      </c>
      <c r="V31" s="309">
        <f>(C31++F31+I31)/(B31+E31+H31)</f>
        <v>2.4080481882893846E-2</v>
      </c>
      <c r="W31" s="308"/>
      <c r="X31" s="187">
        <f>1-(C31/B31)</f>
        <v>0.98745165528110612</v>
      </c>
      <c r="Y31" s="187">
        <f>1-(F31/E31)</f>
        <v>0.97399668850222665</v>
      </c>
      <c r="Z31" s="187">
        <f t="shared" si="26"/>
        <v>0.96508646268651799</v>
      </c>
      <c r="AA31" s="187">
        <f t="shared" si="27"/>
        <v>0.97048855856540595</v>
      </c>
      <c r="AB31" s="188">
        <f t="shared" si="28"/>
        <v>0.9759195181171062</v>
      </c>
      <c r="AC31" s="331"/>
      <c r="AE31" s="196"/>
      <c r="AF31" s="196"/>
      <c r="AG31" s="196"/>
      <c r="AH31" s="196"/>
      <c r="AI31" s="196"/>
      <c r="AJ31" s="196"/>
      <c r="AK31" s="276"/>
      <c r="AL31" s="197"/>
      <c r="AM31" s="197"/>
      <c r="AN31" s="197"/>
      <c r="AO31" s="197"/>
    </row>
    <row r="32" spans="1:54">
      <c r="A32" s="175"/>
      <c r="B32" s="336"/>
      <c r="C32" s="172"/>
      <c r="D32" s="172"/>
      <c r="E32" s="172"/>
      <c r="F32" s="174"/>
      <c r="G32" s="172"/>
      <c r="H32" s="174"/>
      <c r="I32" s="172"/>
      <c r="J32" s="172"/>
      <c r="K32" s="172"/>
      <c r="L32" s="172"/>
      <c r="M32" s="172"/>
      <c r="N32" s="172"/>
      <c r="O32" s="172"/>
      <c r="P32" s="172"/>
      <c r="Q32" s="170"/>
      <c r="W32" s="180"/>
      <c r="AC32" s="176"/>
      <c r="AE32" s="196"/>
      <c r="AF32" s="196"/>
      <c r="AG32" s="196"/>
      <c r="AH32" s="196"/>
      <c r="AI32" s="196"/>
      <c r="AJ32" s="196"/>
      <c r="AK32" s="276"/>
      <c r="AL32" s="197"/>
      <c r="AM32" s="197"/>
      <c r="AN32" s="197"/>
      <c r="AO32" s="197"/>
    </row>
    <row r="33" spans="1:41">
      <c r="A33" s="175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0"/>
      <c r="W33" s="180"/>
      <c r="AC33" s="17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</row>
    <row r="34" spans="1:41" ht="12.75" thickBot="1">
      <c r="A34" s="169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W34" s="180"/>
      <c r="AC34" s="17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</row>
    <row r="35" spans="1:41" ht="12.75"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316"/>
      <c r="R35" s="698" t="s">
        <v>94</v>
      </c>
      <c r="S35" s="699"/>
      <c r="T35" s="699"/>
      <c r="U35" s="699"/>
      <c r="V35" s="700"/>
      <c r="W35" s="310"/>
      <c r="X35" s="694" t="s">
        <v>95</v>
      </c>
      <c r="Y35" s="695"/>
      <c r="Z35" s="695"/>
      <c r="AA35" s="695"/>
      <c r="AB35" s="696"/>
      <c r="AC35" s="176"/>
    </row>
    <row r="36" spans="1:41"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291">
        <v>37438</v>
      </c>
      <c r="R36" s="277"/>
      <c r="S36" s="278"/>
      <c r="T36" s="279"/>
      <c r="U36" s="280"/>
      <c r="V36" s="317"/>
      <c r="W36" s="307"/>
      <c r="X36" s="320"/>
      <c r="Y36" s="278"/>
      <c r="Z36" s="279"/>
      <c r="AA36" s="280"/>
      <c r="AB36" s="317"/>
      <c r="AC36" s="176"/>
    </row>
    <row r="37" spans="1:41"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291">
        <v>37469</v>
      </c>
      <c r="R37" s="177" t="s">
        <v>96</v>
      </c>
      <c r="S37" s="178"/>
      <c r="T37" s="179"/>
      <c r="U37" s="281"/>
      <c r="V37" s="318"/>
      <c r="W37" s="307"/>
      <c r="X37" s="321" t="s">
        <v>96</v>
      </c>
      <c r="Y37" s="178"/>
      <c r="Z37" s="195"/>
      <c r="AA37" s="184"/>
      <c r="AB37" s="322"/>
      <c r="AC37" s="176"/>
    </row>
    <row r="38" spans="1:41">
      <c r="B38" s="185"/>
      <c r="D38" s="172"/>
      <c r="E38" s="186"/>
      <c r="F38" s="172"/>
      <c r="G38" s="172"/>
      <c r="H38" s="186"/>
      <c r="I38" s="172"/>
      <c r="J38" s="172"/>
      <c r="K38" s="172"/>
      <c r="L38" s="172"/>
      <c r="M38" s="172"/>
      <c r="N38" s="172"/>
      <c r="O38" s="172"/>
      <c r="P38" s="172"/>
      <c r="Q38" s="291">
        <v>37500</v>
      </c>
      <c r="R38" s="191">
        <f>SUM(C4:C6)/SUM(B4:B6)</f>
        <v>7.3299410819496515E-3</v>
      </c>
      <c r="S38" s="192">
        <f>SUM(F4:F6)/SUM(E4:E6)</f>
        <v>2.1377192525893929E-2</v>
      </c>
      <c r="T38" s="193">
        <f>SUM(I4:I6)/SUM(H4:H6)</f>
        <v>6.8347360969086765E-2</v>
      </c>
      <c r="U38" s="282">
        <f>(SUM(F4:F6)+SUM(I4:I6))/(SUM(E4:E6)+SUM(H4:H6))</f>
        <v>4.0080811877466642E-2</v>
      </c>
      <c r="V38" s="319">
        <f>(SUM(C4:C6)+SUM(F4:F6)+SUM(I4:I6))/(SUM(B4:B6)+SUM(E4:E6)+SUM(H4:H6))</f>
        <v>2.9642354146216552E-2</v>
      </c>
      <c r="W38" s="307"/>
      <c r="X38" s="323">
        <f>1-(SUM(C4:C6)/SUM(B4:B6))</f>
        <v>0.99267005891805038</v>
      </c>
      <c r="Y38" s="192">
        <f>1-(SUM(F4:F6)/SUM(E4:E6))</f>
        <v>0.97862280747410613</v>
      </c>
      <c r="Z38" s="193">
        <f>1-(SUM(I4:I6)/SUM(H4:H6))</f>
        <v>0.93165263903091322</v>
      </c>
      <c r="AA38" s="184">
        <f>1-((SUM(I4:I6)+SUM(F4:F6))/(SUM(H4:H6)+SUM(E4:E6)))</f>
        <v>0.95991918812253341</v>
      </c>
      <c r="AB38" s="322">
        <f>1-((SUM(I4:I6)+SUM(F4:F6)+SUM(C4:C6))/(SUM(H4:H6)+SUM(E4:E6)+SUM(B4:B6)))</f>
        <v>0.97035764585378348</v>
      </c>
      <c r="AC38" s="176"/>
    </row>
    <row r="39" spans="1:41">
      <c r="D39" s="172"/>
      <c r="E39" s="172"/>
      <c r="F39" s="172"/>
      <c r="G39" s="172"/>
      <c r="H39" s="172"/>
      <c r="P39" s="172"/>
      <c r="Q39" s="291">
        <v>37530</v>
      </c>
      <c r="R39" s="194"/>
      <c r="S39" s="194"/>
      <c r="T39" s="194"/>
      <c r="U39" s="194"/>
      <c r="V39" s="314"/>
      <c r="W39" s="194"/>
      <c r="X39" s="313"/>
      <c r="Y39" s="197"/>
      <c r="Z39" s="197"/>
      <c r="AA39" s="184"/>
      <c r="AB39" s="322"/>
      <c r="AC39" s="176"/>
    </row>
    <row r="40" spans="1:41">
      <c r="D40" s="172"/>
      <c r="E40" s="172"/>
      <c r="F40" s="172"/>
      <c r="G40" s="172"/>
      <c r="H40" s="172"/>
      <c r="P40" s="172"/>
      <c r="Q40" s="291">
        <v>37561</v>
      </c>
      <c r="R40" s="177" t="s">
        <v>97</v>
      </c>
      <c r="S40" s="178"/>
      <c r="T40" s="179"/>
      <c r="U40" s="281"/>
      <c r="V40" s="318"/>
      <c r="W40" s="307"/>
      <c r="X40" s="321" t="s">
        <v>97</v>
      </c>
      <c r="Y40" s="178"/>
      <c r="Z40" s="195"/>
      <c r="AA40" s="184"/>
      <c r="AB40" s="322"/>
      <c r="AC40" s="176"/>
    </row>
    <row r="41" spans="1:41">
      <c r="D41" s="172"/>
      <c r="E41" s="172"/>
      <c r="F41" s="172"/>
      <c r="G41" s="172"/>
      <c r="H41" s="172"/>
      <c r="P41" s="172"/>
      <c r="Q41" s="291">
        <v>37591</v>
      </c>
      <c r="R41" s="191">
        <f>SUM(C7:C9)/SUM(B7:B9)</f>
        <v>1.9577621099360228E-2</v>
      </c>
      <c r="S41" s="192">
        <f>SUM(F7:F9)/SUM(E7:E9)</f>
        <v>3.1144389355458869E-2</v>
      </c>
      <c r="T41" s="193">
        <f>SUM(I7:I9)/SUM(H7:H9)</f>
        <v>3.1005617100951788E-2</v>
      </c>
      <c r="U41" s="282">
        <f>(SUM(F7:F9)+SUM(I7:I9))/(SUM(E7:E9)+SUM(H7:H9))</f>
        <v>3.1089798674195923E-2</v>
      </c>
      <c r="V41" s="319">
        <f>(SUM(C7:C9)+SUM(F7:F9)+SUM(I7:I9))/(SUM(B7:B9)+SUM(E7:E9)+SUM(H7:H9))</f>
        <v>2.740845893699637E-2</v>
      </c>
      <c r="W41" s="307"/>
      <c r="X41" s="323">
        <f>1-(SUM(C7:C9)/SUM(B7:B9))</f>
        <v>0.98042237890063977</v>
      </c>
      <c r="Y41" s="192">
        <f>1-(SUM(F7:F9)/SUM(E7:E9))</f>
        <v>0.96885561064454118</v>
      </c>
      <c r="Z41" s="193">
        <f>1-(SUM(I7:I9)/SUM(H7:H9))</f>
        <v>0.96899438289904816</v>
      </c>
      <c r="AA41" s="184">
        <f>1-((SUM(I7:I9)+SUM(F7:F9))/(SUM(H7:H9)+SUM(E7:E9)))</f>
        <v>0.96891020132580408</v>
      </c>
      <c r="AB41" s="322">
        <f>1-((SUM(I7:I9)+SUM(F7:F9)+SUM(C7:C9))/(SUM(H7:H9)+SUM(E7:E9)+SUM(B7:B9)))</f>
        <v>0.97259154106300361</v>
      </c>
      <c r="AC41" s="176"/>
    </row>
    <row r="42" spans="1:41">
      <c r="D42" s="172"/>
      <c r="E42" s="172"/>
      <c r="F42" s="172"/>
      <c r="G42" s="172"/>
      <c r="H42" s="172"/>
      <c r="P42" s="172"/>
      <c r="Q42" s="291">
        <v>37622</v>
      </c>
      <c r="R42" s="194"/>
      <c r="S42" s="194"/>
      <c r="T42" s="194"/>
      <c r="U42" s="194"/>
      <c r="V42" s="314"/>
      <c r="W42" s="194"/>
      <c r="X42" s="313"/>
      <c r="Y42" s="194"/>
      <c r="Z42" s="194"/>
      <c r="AA42" s="194"/>
      <c r="AB42" s="314"/>
      <c r="AC42" s="176"/>
    </row>
    <row r="43" spans="1:41">
      <c r="D43" s="172"/>
      <c r="E43" s="172"/>
      <c r="F43" s="172"/>
      <c r="G43" s="172"/>
      <c r="H43" s="172"/>
      <c r="P43" s="172"/>
      <c r="Q43" s="291">
        <v>37653</v>
      </c>
      <c r="R43" s="177" t="s">
        <v>98</v>
      </c>
      <c r="S43" s="178"/>
      <c r="T43" s="179"/>
      <c r="U43" s="281"/>
      <c r="V43" s="318"/>
      <c r="W43" s="307"/>
      <c r="X43" s="321" t="s">
        <v>98</v>
      </c>
      <c r="Y43" s="178"/>
      <c r="Z43" s="195"/>
      <c r="AA43" s="194"/>
      <c r="AB43" s="314"/>
      <c r="AC43" s="176"/>
    </row>
    <row r="44" spans="1:41">
      <c r="D44" s="172"/>
      <c r="E44" s="172"/>
      <c r="F44" s="172"/>
      <c r="G44" s="172"/>
      <c r="H44" s="172"/>
      <c r="P44" s="172"/>
      <c r="Q44" s="291">
        <v>37681</v>
      </c>
      <c r="R44" s="191">
        <f>SUM(C10:C12)/SUM(B10:B12)</f>
        <v>1.2625366142931032E-2</v>
      </c>
      <c r="S44" s="192">
        <f>SUM(F10:F12)/SUM(E10:E12)</f>
        <v>3.159241422894124E-2</v>
      </c>
      <c r="T44" s="193">
        <f>SUM(I10:I12)/SUM(H10:H12)</f>
        <v>2.1645529486366524E-2</v>
      </c>
      <c r="U44" s="282">
        <f>(SUM(F10:F12)+SUM(I10:I12))/(SUM(E10:E12)+SUM(H10:H12))</f>
        <v>2.7679238897329136E-2</v>
      </c>
      <c r="V44" s="319">
        <f>(SUM(C10:C12)+SUM(F10:F12)+SUM(I10:I12))/(SUM(B10:B12)+SUM(E10:E12)+SUM(H10:H12))</f>
        <v>2.287267877295578E-2</v>
      </c>
      <c r="W44" s="307"/>
      <c r="X44" s="323">
        <f>1-(SUM(C10:C12)/SUM(B10:B12))</f>
        <v>0.98737463385706892</v>
      </c>
      <c r="Y44" s="192">
        <f>1-(SUM(F10:F12)/SUM(E10:E12))</f>
        <v>0.96840758577105879</v>
      </c>
      <c r="Z44" s="193">
        <f>1-(SUM(I10:I12)/SUM(H10:H12))</f>
        <v>0.97835447051363345</v>
      </c>
      <c r="AA44" s="184">
        <f>1-((SUM(I10:I12)+SUM(F10:F12))/(SUM(H10:H12)+SUM(E10:E12)))</f>
        <v>0.97232076110267085</v>
      </c>
      <c r="AB44" s="322">
        <f>1-((SUM(I10:I12)+SUM(F10:F12)+SUM(C10:C12))/(SUM(H10:H12)+SUM(E10:E12)+SUM(B10:B12)))</f>
        <v>0.97712732122704427</v>
      </c>
      <c r="AC44" s="176"/>
    </row>
    <row r="45" spans="1:41">
      <c r="D45" s="172"/>
      <c r="E45" s="172"/>
      <c r="F45" s="172"/>
      <c r="G45" s="172"/>
      <c r="H45" s="172"/>
      <c r="P45" s="172"/>
      <c r="Q45" s="291">
        <v>37712</v>
      </c>
      <c r="R45" s="276"/>
      <c r="S45" s="197"/>
      <c r="T45" s="184"/>
      <c r="U45" s="280"/>
      <c r="V45" s="317"/>
      <c r="W45" s="338"/>
      <c r="X45" s="335"/>
      <c r="Y45" s="197"/>
      <c r="Z45" s="184"/>
      <c r="AA45" s="184"/>
      <c r="AB45" s="322"/>
      <c r="AC45" s="176"/>
    </row>
    <row r="46" spans="1:41">
      <c r="D46" s="172"/>
      <c r="E46" s="172"/>
      <c r="F46" s="172"/>
      <c r="G46" s="172"/>
      <c r="H46" s="172"/>
      <c r="P46" s="172"/>
      <c r="Q46" s="291">
        <v>37742</v>
      </c>
      <c r="R46" s="177" t="s">
        <v>99</v>
      </c>
      <c r="S46" s="178"/>
      <c r="T46" s="179"/>
      <c r="U46" s="281"/>
      <c r="V46" s="318"/>
      <c r="W46" s="307"/>
      <c r="X46" s="321" t="s">
        <v>98</v>
      </c>
      <c r="Y46" s="178"/>
      <c r="Z46" s="195"/>
      <c r="AA46" s="194"/>
      <c r="AB46" s="314"/>
      <c r="AC46" s="176"/>
    </row>
    <row r="47" spans="1:41" ht="12.75" thickBot="1">
      <c r="D47" s="172"/>
      <c r="E47" s="172"/>
      <c r="F47" s="172"/>
      <c r="G47" s="172"/>
      <c r="H47" s="172"/>
      <c r="P47" s="172"/>
      <c r="Q47" s="294">
        <v>37773</v>
      </c>
      <c r="R47" s="339">
        <f>SUM(C13:C15)/SUM(B13:B15)</f>
        <v>1.052135417350184E-2</v>
      </c>
      <c r="S47" s="340">
        <f>SUM(F13:F15)/SUM(E13:E15)</f>
        <v>1.977493404167489E-2</v>
      </c>
      <c r="T47" s="341">
        <f>SUM(I13:I15)/SUM(H13:H15)</f>
        <v>1.8258508859913071E-2</v>
      </c>
      <c r="U47" s="342">
        <f>(SUM(F13:F15)+SUM(I13:I15))/(SUM(E13:E15)+SUM(H13:H15))</f>
        <v>1.9183682195340824E-2</v>
      </c>
      <c r="V47" s="343">
        <f>(SUM(C13:C15)+SUM(F13:F15)+SUM(I13:I15))/(SUM(B13:B15)+SUM(E13:E15)+SUM(H13:H15))</f>
        <v>1.6387007250560078E-2</v>
      </c>
      <c r="W47" s="308"/>
      <c r="X47" s="344">
        <f>1-(SUM(C13:C15)/SUM(B13:B15))</f>
        <v>0.98947864582649814</v>
      </c>
      <c r="Y47" s="340">
        <f>1-(SUM(F13:F15)/SUM(E13:E15))</f>
        <v>0.98022506595832515</v>
      </c>
      <c r="Z47" s="341">
        <f>1-(SUM(I13:I15)/SUM(H13:H15))</f>
        <v>0.98174149114008691</v>
      </c>
      <c r="AA47" s="345">
        <f>1-((SUM(I13:I15)+SUM(F13:F15))/(SUM(H13:H15)+SUM(E13:E15)))</f>
        <v>0.98081631780465917</v>
      </c>
      <c r="AB47" s="346">
        <f>1-((SUM(I13:I15)+SUM(F13:F15)+SUM(C13:C15))/(SUM(H13:H15)+SUM(E13:E15)+SUM(B13:B15)))</f>
        <v>0.98361299274943992</v>
      </c>
      <c r="AC47" s="176"/>
    </row>
    <row r="48" spans="1:41">
      <c r="D48" s="172"/>
      <c r="E48" s="172"/>
      <c r="F48" s="172"/>
      <c r="G48" s="172"/>
      <c r="H48" s="172"/>
      <c r="P48" s="172"/>
      <c r="Q48" s="328"/>
      <c r="R48" s="194"/>
      <c r="S48" s="194"/>
      <c r="T48" s="194"/>
      <c r="U48" s="194"/>
      <c r="V48" s="194"/>
      <c r="X48" s="194"/>
      <c r="Y48" s="194"/>
      <c r="Z48" s="194"/>
      <c r="AA48" s="194"/>
      <c r="AB48" s="194"/>
      <c r="AC48" s="285"/>
    </row>
    <row r="49" spans="4:29">
      <c r="D49" s="172"/>
      <c r="E49" s="172"/>
      <c r="F49" s="172"/>
      <c r="G49" s="172"/>
      <c r="H49" s="172"/>
      <c r="P49" s="172"/>
      <c r="Q49" s="170"/>
      <c r="AC49" s="285"/>
    </row>
    <row r="50" spans="4:29">
      <c r="D50" s="172"/>
      <c r="E50" s="172"/>
      <c r="F50" s="172"/>
      <c r="G50" s="172"/>
      <c r="H50" s="172"/>
      <c r="P50" s="172"/>
      <c r="Q50" s="170"/>
      <c r="AC50" s="285"/>
    </row>
    <row r="51" spans="4:29">
      <c r="D51" s="172"/>
      <c r="E51" s="172"/>
      <c r="F51" s="172"/>
      <c r="G51" s="172"/>
      <c r="H51" s="172"/>
      <c r="AC51" s="176"/>
    </row>
    <row r="52" spans="4:29">
      <c r="D52" s="172"/>
      <c r="E52" s="172"/>
      <c r="F52" s="172"/>
      <c r="G52" s="172"/>
      <c r="H52" s="172"/>
    </row>
    <row r="53" spans="4:29">
      <c r="Q53" s="172"/>
    </row>
    <row r="54" spans="4:29">
      <c r="Q54" s="172"/>
    </row>
    <row r="55" spans="4:29">
      <c r="Q55" s="172"/>
    </row>
    <row r="56" spans="4:29">
      <c r="Q56" s="172"/>
    </row>
    <row r="57" spans="4:29">
      <c r="Q57" s="172"/>
    </row>
    <row r="58" spans="4:29">
      <c r="Q58" s="172"/>
    </row>
    <row r="59" spans="4:29">
      <c r="Q59" s="172"/>
    </row>
    <row r="60" spans="4:29">
      <c r="Q60" s="172"/>
    </row>
    <row r="61" spans="4:29">
      <c r="Q61" s="172"/>
    </row>
    <row r="62" spans="4:29">
      <c r="Q62" s="172"/>
    </row>
    <row r="63" spans="4:29">
      <c r="Q63" s="172"/>
    </row>
    <row r="64" spans="4:29">
      <c r="Q64" s="172"/>
    </row>
    <row r="65" spans="17:17">
      <c r="Q65" s="172"/>
    </row>
    <row r="66" spans="17:17">
      <c r="Q66" s="172"/>
    </row>
    <row r="67" spans="17:17">
      <c r="Q67" s="172"/>
    </row>
    <row r="68" spans="17:17">
      <c r="Q68" s="172"/>
    </row>
    <row r="69" spans="17:17">
      <c r="Q69" s="172"/>
    </row>
    <row r="70" spans="17:17">
      <c r="Q70" s="172"/>
    </row>
    <row r="71" spans="17:17">
      <c r="Q71" s="172"/>
    </row>
    <row r="72" spans="17:17">
      <c r="Q72" s="172"/>
    </row>
    <row r="73" spans="17:17">
      <c r="Q73" s="172"/>
    </row>
    <row r="74" spans="17:17">
      <c r="Q74" s="172"/>
    </row>
    <row r="75" spans="17:17">
      <c r="Q75" s="172"/>
    </row>
    <row r="76" spans="17:17">
      <c r="Q76" s="172"/>
    </row>
    <row r="77" spans="17:17">
      <c r="Q77" s="172"/>
    </row>
    <row r="78" spans="17:17">
      <c r="Q78" s="172"/>
    </row>
    <row r="91" spans="16:16">
      <c r="P91" s="172"/>
    </row>
    <row r="92" spans="16:16">
      <c r="P92" s="172"/>
    </row>
    <row r="93" spans="16:16">
      <c r="P93" s="172"/>
    </row>
    <row r="94" spans="16:16">
      <c r="P94" s="172"/>
    </row>
    <row r="95" spans="16:16">
      <c r="P95" s="172"/>
    </row>
    <row r="96" spans="16:16">
      <c r="P96" s="172"/>
    </row>
    <row r="97" spans="16:16">
      <c r="P97" s="172"/>
    </row>
    <row r="98" spans="16:16">
      <c r="P98" s="172"/>
    </row>
    <row r="99" spans="16:16">
      <c r="P99" s="172"/>
    </row>
    <row r="100" spans="16:16">
      <c r="P100" s="172"/>
    </row>
    <row r="101" spans="16:16">
      <c r="P101" s="172"/>
    </row>
    <row r="102" spans="16:16">
      <c r="P102" s="172"/>
    </row>
    <row r="103" spans="16:16">
      <c r="P103" s="172"/>
    </row>
    <row r="104" spans="16:16">
      <c r="P104" s="172"/>
    </row>
    <row r="105" spans="16:16">
      <c r="P105" s="172"/>
    </row>
    <row r="106" spans="16:16">
      <c r="P106" s="172"/>
    </row>
    <row r="107" spans="16:16">
      <c r="P107" s="172"/>
    </row>
    <row r="108" spans="16:16">
      <c r="P108" s="172"/>
    </row>
    <row r="109" spans="16:16">
      <c r="P109" s="172"/>
    </row>
    <row r="110" spans="16:16">
      <c r="P110" s="172"/>
    </row>
    <row r="111" spans="16:16">
      <c r="P111" s="172"/>
    </row>
    <row r="112" spans="16:16">
      <c r="P112" s="172"/>
    </row>
    <row r="113" spans="16:16">
      <c r="P113" s="172"/>
    </row>
    <row r="114" spans="16:16">
      <c r="P114" s="172"/>
    </row>
    <row r="115" spans="16:16">
      <c r="P115" s="172"/>
    </row>
    <row r="116" spans="16:16">
      <c r="P116" s="172"/>
    </row>
  </sheetData>
  <mergeCells count="18">
    <mergeCell ref="B2:C2"/>
    <mergeCell ref="E2:F2"/>
    <mergeCell ref="H2:I2"/>
    <mergeCell ref="X35:AB35"/>
    <mergeCell ref="K2:L2"/>
    <mergeCell ref="N2:O2"/>
    <mergeCell ref="R35:V35"/>
    <mergeCell ref="AQ1:AU1"/>
    <mergeCell ref="AV1:AZ1"/>
    <mergeCell ref="AE1:AG1"/>
    <mergeCell ref="AK1:AM1"/>
    <mergeCell ref="B1:C1"/>
    <mergeCell ref="E1:F1"/>
    <mergeCell ref="H1:I1"/>
    <mergeCell ref="X1:AB1"/>
    <mergeCell ref="Q1:V1"/>
    <mergeCell ref="N1:O1"/>
    <mergeCell ref="K1:L1"/>
  </mergeCells>
  <phoneticPr fontId="0" type="noConversion"/>
  <printOptions horizontalCentered="1"/>
  <pageMargins left="0.27" right="0.25" top="1" bottom="0.64" header="0.5" footer="0.5"/>
  <pageSetup orientation="landscape" horizontalDpi="300" verticalDpi="300" r:id="rId1"/>
  <headerFooter alignWithMargins="0">
    <oddHeader>&amp;C&amp;"Arial,Bold"MTA Metro Rail Train Revenue Hours</oddHeader>
  </headerFooter>
  <rowBreaks count="2" manualBreakCount="2">
    <brk id="31" max="28" man="1"/>
    <brk id="90" max="16383" man="1"/>
  </rowBreaks>
  <colBreaks count="3" manualBreakCount="3">
    <brk id="16" max="1048575" man="1"/>
    <brk id="29" max="1048575" man="1"/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62"/>
  <sheetViews>
    <sheetView view="pageBreakPreview" topLeftCell="Q1" zoomScale="70" zoomScaleNormal="90" zoomScaleSheetLayoutView="70" workbookViewId="0">
      <selection activeCell="Q1" sqref="Q1"/>
    </sheetView>
  </sheetViews>
  <sheetFormatPr defaultColWidth="0.140625" defaultRowHeight="12.75"/>
  <cols>
    <col min="1" max="1" width="2.85546875" hidden="1" customWidth="1"/>
    <col min="2" max="4" width="8.7109375" hidden="1" customWidth="1"/>
    <col min="5" max="5" width="8.7109375" style="388" hidden="1" customWidth="1"/>
    <col min="6" max="6" width="2.85546875" hidden="1" customWidth="1"/>
    <col min="7" max="10" width="8.7109375" hidden="1" customWidth="1"/>
    <col min="11" max="11" width="2.85546875" hidden="1" customWidth="1"/>
    <col min="12" max="15" width="8.7109375" hidden="1" customWidth="1"/>
    <col min="16" max="16" width="2.85546875" hidden="1" customWidth="1"/>
    <col min="17" max="20" width="8.7109375" customWidth="1"/>
    <col min="21" max="21" width="2.85546875" hidden="1" customWidth="1"/>
    <col min="22" max="25" width="8.7109375" hidden="1" customWidth="1"/>
    <col min="26" max="26" width="2.85546875" hidden="1" customWidth="1"/>
    <col min="27" max="30" width="8.7109375" hidden="1" customWidth="1"/>
    <col min="31" max="31" width="2.85546875" hidden="1" customWidth="1"/>
    <col min="32" max="33" width="8.7109375" hidden="1" customWidth="1"/>
    <col min="34" max="34" width="11.5703125" hidden="1" customWidth="1"/>
    <col min="35" max="35" width="8.7109375" hidden="1" customWidth="1"/>
    <col min="36" max="36" width="2.85546875" hidden="1" customWidth="1"/>
    <col min="37" max="40" width="8.7109375" hidden="1" customWidth="1"/>
    <col min="41" max="41" width="2.85546875" hidden="1" customWidth="1"/>
    <col min="42" max="45" width="8.7109375" hidden="1" customWidth="1"/>
    <col min="46" max="46" width="2.85546875" hidden="1" customWidth="1"/>
    <col min="47" max="50" width="8.7109375" hidden="1" customWidth="1"/>
    <col min="51" max="51" width="3" hidden="1" customWidth="1"/>
    <col min="52" max="55" width="8.7109375" hidden="1" customWidth="1"/>
    <col min="56" max="56" width="2.85546875" hidden="1" customWidth="1"/>
    <col min="57" max="60" width="8.7109375" hidden="1" customWidth="1"/>
    <col min="61" max="223" width="10.7109375" customWidth="1"/>
    <col min="224" max="280" width="0.140625" customWidth="1"/>
  </cols>
  <sheetData>
    <row r="1" spans="1:60" ht="13.5" thickBot="1"/>
    <row r="2" spans="1:60" s="266" customFormat="1" ht="13.5" thickBot="1">
      <c r="B2" s="569">
        <f>Data!A2</f>
        <v>43647</v>
      </c>
      <c r="C2" s="570"/>
      <c r="D2" s="570"/>
      <c r="E2" s="704"/>
      <c r="G2" s="573">
        <f>Data!A22</f>
        <v>43678</v>
      </c>
      <c r="H2" s="574"/>
      <c r="I2" s="574"/>
      <c r="J2" s="575"/>
      <c r="L2" s="708">
        <f>Data!A42</f>
        <v>43709</v>
      </c>
      <c r="M2" s="561"/>
      <c r="N2" s="561"/>
      <c r="O2" s="562"/>
      <c r="Q2" s="709">
        <f>Data!A62</f>
        <v>43739</v>
      </c>
      <c r="R2" s="564"/>
      <c r="S2" s="564"/>
      <c r="T2" s="565"/>
      <c r="U2" s="267"/>
      <c r="V2" s="710">
        <f>Data!A82</f>
        <v>43770</v>
      </c>
      <c r="W2" s="543"/>
      <c r="X2" s="543"/>
      <c r="Y2" s="544"/>
      <c r="AA2" s="711">
        <f>Data!A102</f>
        <v>43800</v>
      </c>
      <c r="AB2" s="589"/>
      <c r="AC2" s="589"/>
      <c r="AD2" s="590"/>
      <c r="AF2" s="712">
        <f>Data!A122</f>
        <v>43831</v>
      </c>
      <c r="AG2" s="595"/>
      <c r="AH2" s="595"/>
      <c r="AI2" s="596"/>
      <c r="AK2" s="591">
        <f>Data!A142</f>
        <v>43862</v>
      </c>
      <c r="AL2" s="592"/>
      <c r="AM2" s="592"/>
      <c r="AN2" s="593"/>
      <c r="AP2" s="603">
        <f>Data!A162</f>
        <v>43891</v>
      </c>
      <c r="AQ2" s="604"/>
      <c r="AR2" s="604"/>
      <c r="AS2" s="605"/>
      <c r="AU2" s="705">
        <f>Data!A182</f>
        <v>43922</v>
      </c>
      <c r="AV2" s="539"/>
      <c r="AW2" s="539"/>
      <c r="AX2" s="540"/>
      <c r="AZ2" s="706">
        <f>Data!A202</f>
        <v>43952</v>
      </c>
      <c r="BA2" s="530"/>
      <c r="BB2" s="530"/>
      <c r="BC2" s="531"/>
      <c r="BE2" s="707">
        <f>Data!A222</f>
        <v>43983</v>
      </c>
      <c r="BF2" s="527"/>
      <c r="BG2" s="527"/>
      <c r="BH2" s="528"/>
    </row>
    <row r="3" spans="1:60" s="198" customFormat="1" ht="13.5" customHeight="1">
      <c r="B3" s="576"/>
      <c r="C3" s="532" t="s">
        <v>2</v>
      </c>
      <c r="D3" s="701" t="s">
        <v>100</v>
      </c>
      <c r="E3" s="701" t="s">
        <v>101</v>
      </c>
      <c r="G3" s="585"/>
      <c r="H3" s="532" t="s">
        <v>2</v>
      </c>
      <c r="I3" s="701" t="s">
        <v>100</v>
      </c>
      <c r="J3" s="701" t="s">
        <v>101</v>
      </c>
      <c r="L3" s="566"/>
      <c r="M3" s="532" t="s">
        <v>2</v>
      </c>
      <c r="N3" s="701" t="s">
        <v>100</v>
      </c>
      <c r="O3" s="701" t="s">
        <v>101</v>
      </c>
      <c r="Q3" s="202"/>
      <c r="R3" s="532" t="s">
        <v>2</v>
      </c>
      <c r="S3" s="701" t="s">
        <v>100</v>
      </c>
      <c r="T3" s="701" t="s">
        <v>101</v>
      </c>
      <c r="U3" s="200"/>
      <c r="V3" s="554"/>
      <c r="W3" s="532" t="s">
        <v>2</v>
      </c>
      <c r="X3" s="701" t="s">
        <v>100</v>
      </c>
      <c r="Y3" s="701" t="s">
        <v>101</v>
      </c>
      <c r="AA3" s="631"/>
      <c r="AB3" s="532" t="s">
        <v>2</v>
      </c>
      <c r="AC3" s="701" t="s">
        <v>100</v>
      </c>
      <c r="AD3" s="701" t="s">
        <v>101</v>
      </c>
      <c r="AF3" s="597"/>
      <c r="AG3" s="532" t="s">
        <v>2</v>
      </c>
      <c r="AH3" s="701" t="s">
        <v>100</v>
      </c>
      <c r="AI3" s="701" t="s">
        <v>101</v>
      </c>
      <c r="AK3" s="600"/>
      <c r="AL3" s="532" t="s">
        <v>2</v>
      </c>
      <c r="AM3" s="701" t="s">
        <v>100</v>
      </c>
      <c r="AN3" s="701" t="s">
        <v>101</v>
      </c>
      <c r="AP3" s="606"/>
      <c r="AQ3" s="532" t="s">
        <v>2</v>
      </c>
      <c r="AR3" s="701" t="s">
        <v>100</v>
      </c>
      <c r="AS3" s="701" t="s">
        <v>101</v>
      </c>
      <c r="AU3" s="609"/>
      <c r="AV3" s="532" t="s">
        <v>2</v>
      </c>
      <c r="AW3" s="701" t="s">
        <v>100</v>
      </c>
      <c r="AX3" s="701" t="s">
        <v>101</v>
      </c>
      <c r="AZ3" s="203"/>
      <c r="BA3" s="532" t="s">
        <v>2</v>
      </c>
      <c r="BB3" s="701" t="s">
        <v>100</v>
      </c>
      <c r="BC3" s="701" t="s">
        <v>101</v>
      </c>
      <c r="BE3" s="204"/>
      <c r="BF3" s="532" t="s">
        <v>2</v>
      </c>
      <c r="BG3" s="701" t="s">
        <v>100</v>
      </c>
      <c r="BH3" s="701" t="s">
        <v>101</v>
      </c>
    </row>
    <row r="4" spans="1:60" s="198" customFormat="1" ht="12.75" customHeight="1">
      <c r="B4" s="577"/>
      <c r="C4" s="518"/>
      <c r="D4" s="702"/>
      <c r="E4" s="702"/>
      <c r="G4" s="586"/>
      <c r="H4" s="518"/>
      <c r="I4" s="702"/>
      <c r="J4" s="702"/>
      <c r="L4" s="567"/>
      <c r="M4" s="518"/>
      <c r="N4" s="702"/>
      <c r="O4" s="702"/>
      <c r="Q4" s="205"/>
      <c r="R4" s="518"/>
      <c r="S4" s="702"/>
      <c r="T4" s="702"/>
      <c r="U4" s="200"/>
      <c r="V4" s="555"/>
      <c r="W4" s="518"/>
      <c r="X4" s="702"/>
      <c r="Y4" s="702"/>
      <c r="AA4" s="632"/>
      <c r="AB4" s="518"/>
      <c r="AC4" s="702"/>
      <c r="AD4" s="702"/>
      <c r="AF4" s="598"/>
      <c r="AG4" s="518"/>
      <c r="AH4" s="702"/>
      <c r="AI4" s="702"/>
      <c r="AK4" s="601"/>
      <c r="AL4" s="518"/>
      <c r="AM4" s="702"/>
      <c r="AN4" s="702"/>
      <c r="AP4" s="607"/>
      <c r="AQ4" s="518"/>
      <c r="AR4" s="702"/>
      <c r="AS4" s="702"/>
      <c r="AU4" s="610"/>
      <c r="AV4" s="518"/>
      <c r="AW4" s="702"/>
      <c r="AX4" s="702"/>
      <c r="AZ4" s="206"/>
      <c r="BA4" s="518"/>
      <c r="BB4" s="702"/>
      <c r="BC4" s="702"/>
      <c r="BE4" s="207"/>
      <c r="BF4" s="518"/>
      <c r="BG4" s="702"/>
      <c r="BH4" s="702"/>
    </row>
    <row r="5" spans="1:60" s="208" customFormat="1" ht="13.5" customHeight="1" thickBot="1">
      <c r="A5" s="767"/>
      <c r="B5" s="578"/>
      <c r="C5" s="519"/>
      <c r="D5" s="703"/>
      <c r="E5" s="703"/>
      <c r="F5" s="768"/>
      <c r="G5" s="587"/>
      <c r="H5" s="519"/>
      <c r="I5" s="703"/>
      <c r="J5" s="703"/>
      <c r="K5" s="768"/>
      <c r="L5" s="568"/>
      <c r="M5" s="519"/>
      <c r="N5" s="703"/>
      <c r="O5" s="703"/>
      <c r="P5" s="772"/>
      <c r="Q5" s="771"/>
      <c r="R5" s="519"/>
      <c r="S5" s="703"/>
      <c r="T5" s="703"/>
      <c r="U5" s="772"/>
      <c r="V5" s="556"/>
      <c r="W5" s="519"/>
      <c r="X5" s="703"/>
      <c r="Y5" s="703"/>
      <c r="Z5" s="770"/>
      <c r="AA5" s="633"/>
      <c r="AB5" s="519"/>
      <c r="AC5" s="703"/>
      <c r="AD5" s="703"/>
      <c r="AE5" s="772"/>
      <c r="AF5" s="599"/>
      <c r="AG5" s="519"/>
      <c r="AH5" s="703"/>
      <c r="AI5" s="703"/>
      <c r="AJ5" s="770"/>
      <c r="AK5" s="602"/>
      <c r="AL5" s="519"/>
      <c r="AM5" s="703"/>
      <c r="AN5" s="703"/>
      <c r="AO5" s="772"/>
      <c r="AP5" s="608"/>
      <c r="AQ5" s="519"/>
      <c r="AR5" s="703"/>
      <c r="AS5" s="703"/>
      <c r="AT5" s="773"/>
      <c r="AU5" s="611"/>
      <c r="AV5" s="519"/>
      <c r="AW5" s="703"/>
      <c r="AX5" s="703"/>
      <c r="AY5" s="770"/>
      <c r="AZ5" s="774"/>
      <c r="BA5" s="519"/>
      <c r="BB5" s="703"/>
      <c r="BC5" s="703"/>
      <c r="BD5" s="770"/>
      <c r="BE5" s="775"/>
      <c r="BF5" s="519"/>
      <c r="BG5" s="703"/>
      <c r="BH5" s="703"/>
    </row>
    <row r="6" spans="1:60" s="208" customFormat="1" ht="15" customHeight="1">
      <c r="A6" s="777"/>
      <c r="B6" s="778"/>
      <c r="C6" s="386" t="s">
        <v>46</v>
      </c>
      <c r="D6" s="386">
        <f>Data!F2</f>
        <v>3197.2480999999989</v>
      </c>
      <c r="E6" s="386">
        <f>Data!G2</f>
        <v>0</v>
      </c>
      <c r="F6" s="785"/>
      <c r="G6" s="793"/>
      <c r="H6" s="447" t="s">
        <v>46</v>
      </c>
      <c r="I6" s="447">
        <f>Data!F22</f>
        <v>2393.3994000000002</v>
      </c>
      <c r="J6" s="447">
        <f>Data!G22</f>
        <v>18.216670000000001</v>
      </c>
      <c r="K6" s="785"/>
      <c r="L6" s="783"/>
      <c r="M6" s="447" t="s">
        <v>46</v>
      </c>
      <c r="N6" s="447">
        <f>Data!F42</f>
        <v>91.649770000000018</v>
      </c>
      <c r="O6" s="447">
        <f>Data!G42</f>
        <v>42.500030000000002</v>
      </c>
      <c r="P6" s="785"/>
      <c r="Q6" s="784"/>
      <c r="R6" s="447" t="s">
        <v>46</v>
      </c>
      <c r="S6" s="447">
        <f>Data!F62</f>
        <v>25.55</v>
      </c>
      <c r="T6" s="447">
        <f>Data!G62</f>
        <v>23.116700000000002</v>
      </c>
      <c r="U6" s="785"/>
      <c r="V6" s="786"/>
      <c r="W6" s="447" t="s">
        <v>46</v>
      </c>
      <c r="X6" s="447">
        <f>Data!F82</f>
        <v>0</v>
      </c>
      <c r="Y6" s="447">
        <f>Data!G82</f>
        <v>0</v>
      </c>
      <c r="Z6" s="785"/>
      <c r="AA6" s="787"/>
      <c r="AB6" s="447" t="s">
        <v>46</v>
      </c>
      <c r="AC6" s="447">
        <f>Data!F102</f>
        <v>0</v>
      </c>
      <c r="AD6" s="447">
        <f>Data!G102</f>
        <v>0</v>
      </c>
      <c r="AE6" s="785"/>
      <c r="AF6" s="794"/>
      <c r="AG6" s="447" t="s">
        <v>46</v>
      </c>
      <c r="AH6" s="447">
        <f>Data!F122</f>
        <v>0</v>
      </c>
      <c r="AI6" s="447">
        <f>Data!G122</f>
        <v>0</v>
      </c>
      <c r="AJ6" s="785"/>
      <c r="AK6" s="789"/>
      <c r="AL6" s="447" t="s">
        <v>46</v>
      </c>
      <c r="AM6" s="447">
        <f>Data!F142</f>
        <v>0</v>
      </c>
      <c r="AN6" s="447">
        <f>Data!G142</f>
        <v>0</v>
      </c>
      <c r="AO6" s="785"/>
      <c r="AP6" s="790"/>
      <c r="AQ6" s="447" t="s">
        <v>46</v>
      </c>
      <c r="AR6" s="447">
        <f>Data!F162</f>
        <v>0</v>
      </c>
      <c r="AS6" s="447">
        <f>Data!G162</f>
        <v>0</v>
      </c>
      <c r="AT6" s="785"/>
      <c r="AU6" s="791"/>
      <c r="AV6" s="447" t="s">
        <v>46</v>
      </c>
      <c r="AW6" s="447">
        <f>Data!F182</f>
        <v>0</v>
      </c>
      <c r="AX6" s="447">
        <f>Data!G182</f>
        <v>0</v>
      </c>
      <c r="AY6" s="785"/>
      <c r="AZ6" s="429"/>
      <c r="BA6" s="447" t="s">
        <v>46</v>
      </c>
      <c r="BB6" s="447">
        <f>Data!F202</f>
        <v>0</v>
      </c>
      <c r="BC6" s="447">
        <f>Data!G202</f>
        <v>0</v>
      </c>
      <c r="BD6" s="781"/>
      <c r="BE6" s="792"/>
      <c r="BF6" s="447" t="s">
        <v>46</v>
      </c>
      <c r="BG6" s="447">
        <f>Data!F222</f>
        <v>0</v>
      </c>
      <c r="BH6" s="447">
        <f>Data!G222</f>
        <v>0</v>
      </c>
    </row>
    <row r="7" spans="1:60" s="208" customFormat="1" ht="15" customHeight="1">
      <c r="A7" s="777"/>
      <c r="B7" s="778"/>
      <c r="C7" s="386"/>
      <c r="D7" s="386"/>
      <c r="E7" s="386"/>
      <c r="F7" s="785"/>
      <c r="G7" s="793"/>
      <c r="H7" s="447"/>
      <c r="I7" s="447"/>
      <c r="J7" s="447"/>
      <c r="K7" s="785"/>
      <c r="L7" s="783"/>
      <c r="M7" s="447"/>
      <c r="N7" s="447"/>
      <c r="O7" s="447"/>
      <c r="P7" s="785"/>
      <c r="Q7" s="784"/>
      <c r="R7" s="447"/>
      <c r="S7" s="447"/>
      <c r="T7" s="447"/>
      <c r="U7" s="785"/>
      <c r="V7" s="786"/>
      <c r="W7" s="447"/>
      <c r="X7" s="447"/>
      <c r="Y7" s="447"/>
      <c r="Z7" s="785"/>
      <c r="AA7" s="787"/>
      <c r="AB7" s="447"/>
      <c r="AC7" s="447"/>
      <c r="AD7" s="447"/>
      <c r="AE7" s="785"/>
      <c r="AF7" s="794"/>
      <c r="AG7" s="447"/>
      <c r="AH7" s="447"/>
      <c r="AI7" s="447"/>
      <c r="AJ7" s="785"/>
      <c r="AK7" s="789"/>
      <c r="AL7" s="447"/>
      <c r="AM7" s="447"/>
      <c r="AN7" s="447"/>
      <c r="AO7" s="785"/>
      <c r="AP7" s="790"/>
      <c r="AQ7" s="447"/>
      <c r="AR7" s="447"/>
      <c r="AS7" s="447"/>
      <c r="AT7" s="785"/>
      <c r="AU7" s="791"/>
      <c r="AV7" s="447"/>
      <c r="AW7" s="447"/>
      <c r="AX7" s="447"/>
      <c r="AY7" s="785"/>
      <c r="AZ7" s="429"/>
      <c r="BA7" s="447"/>
      <c r="BB7" s="447"/>
      <c r="BC7" s="447"/>
      <c r="BD7" s="781"/>
      <c r="BE7" s="792"/>
      <c r="BF7" s="447"/>
      <c r="BG7" s="447"/>
      <c r="BH7" s="447"/>
    </row>
    <row r="8" spans="1:60" s="208" customFormat="1" ht="15" customHeight="1">
      <c r="A8" s="777"/>
      <c r="B8" s="778"/>
      <c r="C8" s="386" t="s">
        <v>47</v>
      </c>
      <c r="D8" s="386">
        <f>Data!F3</f>
        <v>0</v>
      </c>
      <c r="E8" s="386">
        <f>Data!G3</f>
        <v>0</v>
      </c>
      <c r="F8" s="785"/>
      <c r="G8" s="793"/>
      <c r="H8" s="447" t="s">
        <v>47</v>
      </c>
      <c r="I8" s="447">
        <f>Data!F23</f>
        <v>0</v>
      </c>
      <c r="J8" s="447">
        <f>Data!G23</f>
        <v>0</v>
      </c>
      <c r="K8" s="785"/>
      <c r="L8" s="783"/>
      <c r="M8" s="447" t="s">
        <v>47</v>
      </c>
      <c r="N8" s="447">
        <f>Data!F43</f>
        <v>0</v>
      </c>
      <c r="O8" s="447">
        <f>Data!G43</f>
        <v>9.2833299999999994</v>
      </c>
      <c r="P8" s="785"/>
      <c r="Q8" s="784"/>
      <c r="R8" s="447" t="s">
        <v>47</v>
      </c>
      <c r="S8" s="447">
        <f>Data!F63</f>
        <v>20.5</v>
      </c>
      <c r="T8" s="447">
        <f>Data!G63</f>
        <v>0</v>
      </c>
      <c r="U8" s="785"/>
      <c r="V8" s="786"/>
      <c r="W8" s="447" t="s">
        <v>47</v>
      </c>
      <c r="X8" s="447">
        <f>Data!F83</f>
        <v>0</v>
      </c>
      <c r="Y8" s="447">
        <f>Data!G83</f>
        <v>0</v>
      </c>
      <c r="Z8" s="785"/>
      <c r="AA8" s="787"/>
      <c r="AB8" s="447" t="s">
        <v>47</v>
      </c>
      <c r="AC8" s="447">
        <f>Data!F103</f>
        <v>0</v>
      </c>
      <c r="AD8" s="447">
        <f>Data!G103</f>
        <v>0</v>
      </c>
      <c r="AE8" s="785"/>
      <c r="AF8" s="794"/>
      <c r="AG8" s="447" t="s">
        <v>47</v>
      </c>
      <c r="AH8" s="447">
        <f>Data!F123</f>
        <v>0</v>
      </c>
      <c r="AI8" s="447">
        <f>Data!G123</f>
        <v>0</v>
      </c>
      <c r="AJ8" s="785"/>
      <c r="AK8" s="789"/>
      <c r="AL8" s="447" t="s">
        <v>47</v>
      </c>
      <c r="AM8" s="447">
        <f>Data!F143</f>
        <v>0</v>
      </c>
      <c r="AN8" s="447">
        <f>Data!G143</f>
        <v>0</v>
      </c>
      <c r="AO8" s="785"/>
      <c r="AP8" s="790"/>
      <c r="AQ8" s="447" t="s">
        <v>47</v>
      </c>
      <c r="AR8" s="447">
        <f>Data!F163</f>
        <v>0</v>
      </c>
      <c r="AS8" s="447">
        <f>Data!G163</f>
        <v>0</v>
      </c>
      <c r="AT8" s="785"/>
      <c r="AU8" s="791"/>
      <c r="AV8" s="447" t="s">
        <v>47</v>
      </c>
      <c r="AW8" s="447">
        <f>Data!F183</f>
        <v>0</v>
      </c>
      <c r="AX8" s="447">
        <f>Data!G183</f>
        <v>0</v>
      </c>
      <c r="AY8" s="785"/>
      <c r="AZ8" s="429"/>
      <c r="BA8" s="447" t="s">
        <v>47</v>
      </c>
      <c r="BB8" s="447">
        <f>Data!F203</f>
        <v>0</v>
      </c>
      <c r="BC8" s="447">
        <f>Data!G203</f>
        <v>0</v>
      </c>
      <c r="BD8" s="781"/>
      <c r="BE8" s="792"/>
      <c r="BF8" s="447" t="s">
        <v>47</v>
      </c>
      <c r="BG8" s="447">
        <f>Data!F223</f>
        <v>0</v>
      </c>
      <c r="BH8" s="447">
        <f>Data!G223</f>
        <v>0</v>
      </c>
    </row>
    <row r="9" spans="1:60" s="208" customFormat="1" ht="15" customHeight="1">
      <c r="A9" s="777"/>
      <c r="B9" s="778"/>
      <c r="C9" s="386"/>
      <c r="D9" s="386"/>
      <c r="E9" s="386"/>
      <c r="F9" s="785"/>
      <c r="G9" s="793"/>
      <c r="H9" s="447"/>
      <c r="I9" s="447"/>
      <c r="J9" s="447"/>
      <c r="K9" s="785"/>
      <c r="L9" s="783"/>
      <c r="M9" s="447"/>
      <c r="N9" s="447"/>
      <c r="O9" s="447"/>
      <c r="P9" s="785"/>
      <c r="Q9" s="784"/>
      <c r="R9" s="447"/>
      <c r="S9" s="447"/>
      <c r="T9" s="447"/>
      <c r="U9" s="785"/>
      <c r="V9" s="786"/>
      <c r="W9" s="447"/>
      <c r="X9" s="447"/>
      <c r="Y9" s="447"/>
      <c r="Z9" s="785"/>
      <c r="AA9" s="787"/>
      <c r="AB9" s="447"/>
      <c r="AC9" s="447"/>
      <c r="AD9" s="447"/>
      <c r="AE9" s="785"/>
      <c r="AF9" s="794"/>
      <c r="AG9" s="447"/>
      <c r="AH9" s="447"/>
      <c r="AI9" s="447"/>
      <c r="AJ9" s="785"/>
      <c r="AK9" s="789"/>
      <c r="AL9" s="447"/>
      <c r="AM9" s="447"/>
      <c r="AN9" s="447"/>
      <c r="AO9" s="785"/>
      <c r="AP9" s="790"/>
      <c r="AQ9" s="447"/>
      <c r="AR9" s="447"/>
      <c r="AS9" s="447"/>
      <c r="AT9" s="785"/>
      <c r="AU9" s="791"/>
      <c r="AV9" s="447"/>
      <c r="AW9" s="447"/>
      <c r="AX9" s="447"/>
      <c r="AY9" s="785"/>
      <c r="AZ9" s="429"/>
      <c r="BA9" s="447"/>
      <c r="BB9" s="447"/>
      <c r="BC9" s="447"/>
      <c r="BD9" s="781"/>
      <c r="BE9" s="792"/>
      <c r="BF9" s="447"/>
      <c r="BG9" s="447"/>
      <c r="BH9" s="447"/>
    </row>
    <row r="10" spans="1:60" s="208" customFormat="1" ht="15" customHeight="1">
      <c r="A10" s="777"/>
      <c r="B10" s="778"/>
      <c r="C10" s="386" t="s">
        <v>48</v>
      </c>
      <c r="D10" s="386">
        <f>Data!F4</f>
        <v>21.25</v>
      </c>
      <c r="E10" s="386">
        <f>Data!G4</f>
        <v>0</v>
      </c>
      <c r="F10" s="785"/>
      <c r="G10" s="793"/>
      <c r="H10" s="447" t="s">
        <v>48</v>
      </c>
      <c r="I10" s="447">
        <f>Data!F24</f>
        <v>0</v>
      </c>
      <c r="J10" s="447">
        <f>Data!G24</f>
        <v>0</v>
      </c>
      <c r="K10" s="785"/>
      <c r="L10" s="783"/>
      <c r="M10" s="447" t="s">
        <v>48</v>
      </c>
      <c r="N10" s="447">
        <f>Data!F44</f>
        <v>30</v>
      </c>
      <c r="O10" s="447">
        <f>Data!G44</f>
        <v>0</v>
      </c>
      <c r="P10" s="785"/>
      <c r="Q10" s="784"/>
      <c r="R10" s="447" t="s">
        <v>48</v>
      </c>
      <c r="S10" s="447">
        <f>Data!F64</f>
        <v>20.666699999999999</v>
      </c>
      <c r="T10" s="447">
        <f>Data!G64</f>
        <v>0</v>
      </c>
      <c r="U10" s="785"/>
      <c r="V10" s="786"/>
      <c r="W10" s="447" t="s">
        <v>48</v>
      </c>
      <c r="X10" s="447">
        <f>Data!F84</f>
        <v>0</v>
      </c>
      <c r="Y10" s="447">
        <f>Data!G84</f>
        <v>0</v>
      </c>
      <c r="Z10" s="785"/>
      <c r="AA10" s="787"/>
      <c r="AB10" s="447" t="s">
        <v>48</v>
      </c>
      <c r="AC10" s="447">
        <f>Data!F104</f>
        <v>0</v>
      </c>
      <c r="AD10" s="447">
        <f>Data!G104</f>
        <v>0</v>
      </c>
      <c r="AE10" s="785"/>
      <c r="AF10" s="794"/>
      <c r="AG10" s="447" t="s">
        <v>48</v>
      </c>
      <c r="AH10" s="447">
        <f>Data!F124</f>
        <v>0</v>
      </c>
      <c r="AI10" s="447">
        <f>Data!G124</f>
        <v>0</v>
      </c>
      <c r="AJ10" s="785"/>
      <c r="AK10" s="789"/>
      <c r="AL10" s="447" t="s">
        <v>48</v>
      </c>
      <c r="AM10" s="447">
        <f>Data!F144</f>
        <v>0</v>
      </c>
      <c r="AN10" s="447">
        <f>Data!G144</f>
        <v>0</v>
      </c>
      <c r="AO10" s="785"/>
      <c r="AP10" s="790"/>
      <c r="AQ10" s="447" t="s">
        <v>48</v>
      </c>
      <c r="AR10" s="447">
        <f>Data!F164</f>
        <v>0</v>
      </c>
      <c r="AS10" s="447">
        <f>Data!G164</f>
        <v>0</v>
      </c>
      <c r="AT10" s="785"/>
      <c r="AU10" s="791"/>
      <c r="AV10" s="447" t="s">
        <v>48</v>
      </c>
      <c r="AW10" s="447">
        <f>Data!F184</f>
        <v>0</v>
      </c>
      <c r="AX10" s="447">
        <f>Data!G184</f>
        <v>0</v>
      </c>
      <c r="AY10" s="785"/>
      <c r="AZ10" s="429"/>
      <c r="BA10" s="447" t="s">
        <v>48</v>
      </c>
      <c r="BB10" s="447">
        <f>Data!F204</f>
        <v>0</v>
      </c>
      <c r="BC10" s="447">
        <f>Data!G204</f>
        <v>0</v>
      </c>
      <c r="BD10" s="781"/>
      <c r="BE10" s="792"/>
      <c r="BF10" s="447" t="s">
        <v>48</v>
      </c>
      <c r="BG10" s="447">
        <f>Data!F224</f>
        <v>0</v>
      </c>
      <c r="BH10" s="447">
        <f>Data!G224</f>
        <v>0</v>
      </c>
    </row>
    <row r="11" spans="1:60" s="208" customFormat="1" ht="15" customHeight="1">
      <c r="A11" s="777"/>
      <c r="B11" s="778"/>
      <c r="C11" s="386"/>
      <c r="D11" s="386"/>
      <c r="E11" s="386"/>
      <c r="F11" s="785"/>
      <c r="G11" s="793"/>
      <c r="H11" s="447"/>
      <c r="I11" s="447"/>
      <c r="J11" s="447"/>
      <c r="K11" s="785"/>
      <c r="L11" s="783"/>
      <c r="M11" s="447"/>
      <c r="N11" s="447"/>
      <c r="O11" s="447"/>
      <c r="P11" s="785"/>
      <c r="Q11" s="784"/>
      <c r="R11" s="447"/>
      <c r="S11" s="447"/>
      <c r="T11" s="447"/>
      <c r="U11" s="785"/>
      <c r="V11" s="786"/>
      <c r="W11" s="447"/>
      <c r="X11" s="447"/>
      <c r="Y11" s="447"/>
      <c r="Z11" s="785"/>
      <c r="AA11" s="787"/>
      <c r="AB11" s="447"/>
      <c r="AC11" s="447"/>
      <c r="AD11" s="447"/>
      <c r="AE11" s="785"/>
      <c r="AF11" s="794"/>
      <c r="AG11" s="447"/>
      <c r="AH11" s="447"/>
      <c r="AI11" s="447"/>
      <c r="AJ11" s="785"/>
      <c r="AK11" s="789"/>
      <c r="AL11" s="447"/>
      <c r="AM11" s="447"/>
      <c r="AN11" s="447"/>
      <c r="AO11" s="785"/>
      <c r="AP11" s="790"/>
      <c r="AQ11" s="447"/>
      <c r="AR11" s="447"/>
      <c r="AS11" s="447"/>
      <c r="AT11" s="785"/>
      <c r="AU11" s="791"/>
      <c r="AV11" s="447"/>
      <c r="AW11" s="447"/>
      <c r="AX11" s="447"/>
      <c r="AY11" s="785"/>
      <c r="AZ11" s="429"/>
      <c r="BA11" s="447"/>
      <c r="BB11" s="447"/>
      <c r="BC11" s="447"/>
      <c r="BD11" s="781"/>
      <c r="BE11" s="792"/>
      <c r="BF11" s="447"/>
      <c r="BG11" s="447"/>
      <c r="BH11" s="447"/>
    </row>
    <row r="12" spans="1:60" s="208" customFormat="1" ht="15" customHeight="1">
      <c r="A12" s="780"/>
      <c r="B12" s="778"/>
      <c r="C12" s="386" t="s">
        <v>49</v>
      </c>
      <c r="D12" s="386">
        <f>Data!F5</f>
        <v>532.98340000000007</v>
      </c>
      <c r="E12" s="386">
        <f>Data!G5</f>
        <v>0</v>
      </c>
      <c r="F12" s="772"/>
      <c r="G12" s="793"/>
      <c r="H12" s="447" t="s">
        <v>49</v>
      </c>
      <c r="I12" s="447">
        <f>Data!F25</f>
        <v>729.23320000000001</v>
      </c>
      <c r="J12" s="447">
        <f>Data!G25</f>
        <v>0</v>
      </c>
      <c r="K12" s="772"/>
      <c r="L12" s="783"/>
      <c r="M12" s="447" t="s">
        <v>49</v>
      </c>
      <c r="N12" s="447">
        <f>Data!F45</f>
        <v>514.1001</v>
      </c>
      <c r="O12" s="447">
        <f>Data!G45</f>
        <v>4.2</v>
      </c>
      <c r="P12" s="772"/>
      <c r="Q12" s="784"/>
      <c r="R12" s="447" t="s">
        <v>49</v>
      </c>
      <c r="S12" s="447">
        <f>Data!F65</f>
        <v>123.18340000000001</v>
      </c>
      <c r="T12" s="447">
        <f>Data!G65</f>
        <v>0</v>
      </c>
      <c r="U12" s="772"/>
      <c r="V12" s="786"/>
      <c r="W12" s="447" t="s">
        <v>49</v>
      </c>
      <c r="X12" s="447">
        <f>Data!F85</f>
        <v>0</v>
      </c>
      <c r="Y12" s="447">
        <f>Data!G85</f>
        <v>0</v>
      </c>
      <c r="Z12" s="772"/>
      <c r="AA12" s="787"/>
      <c r="AB12" s="447" t="s">
        <v>49</v>
      </c>
      <c r="AC12" s="447">
        <f>Data!F105</f>
        <v>0</v>
      </c>
      <c r="AD12" s="447">
        <f>Data!G105</f>
        <v>0</v>
      </c>
      <c r="AE12" s="772"/>
      <c r="AF12" s="794"/>
      <c r="AG12" s="447" t="s">
        <v>49</v>
      </c>
      <c r="AH12" s="447">
        <f>Data!F125</f>
        <v>0</v>
      </c>
      <c r="AI12" s="447">
        <f>Data!G125</f>
        <v>0</v>
      </c>
      <c r="AJ12" s="772"/>
      <c r="AK12" s="789"/>
      <c r="AL12" s="447" t="s">
        <v>49</v>
      </c>
      <c r="AM12" s="447">
        <f>Data!F145</f>
        <v>0</v>
      </c>
      <c r="AN12" s="447">
        <f>Data!G145</f>
        <v>0</v>
      </c>
      <c r="AO12" s="772"/>
      <c r="AP12" s="790"/>
      <c r="AQ12" s="447" t="s">
        <v>49</v>
      </c>
      <c r="AR12" s="447">
        <f>Data!F165</f>
        <v>0</v>
      </c>
      <c r="AS12" s="447">
        <f>Data!G165</f>
        <v>0</v>
      </c>
      <c r="AT12" s="772"/>
      <c r="AU12" s="791"/>
      <c r="AV12" s="447" t="s">
        <v>49</v>
      </c>
      <c r="AW12" s="447">
        <f>Data!F185</f>
        <v>0</v>
      </c>
      <c r="AX12" s="447">
        <f>Data!G185</f>
        <v>0</v>
      </c>
      <c r="AY12" s="772"/>
      <c r="AZ12" s="429"/>
      <c r="BA12" s="447" t="s">
        <v>49</v>
      </c>
      <c r="BB12" s="447">
        <f>Data!F205</f>
        <v>0</v>
      </c>
      <c r="BC12" s="447">
        <f>Data!G205</f>
        <v>0</v>
      </c>
      <c r="BD12" s="770"/>
      <c r="BE12" s="792"/>
      <c r="BF12" s="447" t="s">
        <v>49</v>
      </c>
      <c r="BG12" s="447">
        <f>Data!F225</f>
        <v>0</v>
      </c>
      <c r="BH12" s="447">
        <f>Data!G225</f>
        <v>0</v>
      </c>
    </row>
    <row r="13" spans="1:60" s="208" customFormat="1" ht="15" customHeight="1">
      <c r="A13" s="780"/>
      <c r="B13" s="778"/>
      <c r="C13" s="386"/>
      <c r="D13" s="386"/>
      <c r="E13" s="386"/>
      <c r="F13" s="772"/>
      <c r="G13" s="793"/>
      <c r="H13" s="447"/>
      <c r="I13" s="447"/>
      <c r="J13" s="447"/>
      <c r="K13" s="772"/>
      <c r="L13" s="783"/>
      <c r="M13" s="447"/>
      <c r="N13" s="447"/>
      <c r="O13" s="447"/>
      <c r="P13" s="772"/>
      <c r="Q13" s="784"/>
      <c r="R13" s="447"/>
      <c r="S13" s="447"/>
      <c r="T13" s="447"/>
      <c r="U13" s="772"/>
      <c r="V13" s="786"/>
      <c r="W13" s="447"/>
      <c r="X13" s="447"/>
      <c r="Y13" s="447"/>
      <c r="Z13" s="772"/>
      <c r="AA13" s="787"/>
      <c r="AB13" s="447"/>
      <c r="AC13" s="447"/>
      <c r="AD13" s="447"/>
      <c r="AE13" s="772"/>
      <c r="AF13" s="794"/>
      <c r="AG13" s="447"/>
      <c r="AH13" s="447"/>
      <c r="AI13" s="447"/>
      <c r="AJ13" s="772"/>
      <c r="AK13" s="789"/>
      <c r="AL13" s="447"/>
      <c r="AM13" s="447"/>
      <c r="AN13" s="447"/>
      <c r="AO13" s="772"/>
      <c r="AP13" s="790"/>
      <c r="AQ13" s="447"/>
      <c r="AR13" s="447"/>
      <c r="AS13" s="447"/>
      <c r="AT13" s="772"/>
      <c r="AU13" s="791"/>
      <c r="AV13" s="447"/>
      <c r="AW13" s="447"/>
      <c r="AX13" s="447"/>
      <c r="AY13" s="772"/>
      <c r="AZ13" s="429"/>
      <c r="BA13" s="447"/>
      <c r="BB13" s="447"/>
      <c r="BC13" s="447"/>
      <c r="BD13" s="770"/>
      <c r="BE13" s="792"/>
      <c r="BF13" s="447"/>
      <c r="BG13" s="447"/>
      <c r="BH13" s="447"/>
    </row>
    <row r="14" spans="1:60" s="208" customFormat="1" ht="15" customHeight="1">
      <c r="A14" s="780"/>
      <c r="B14" s="778"/>
      <c r="C14" s="386" t="s">
        <v>102</v>
      </c>
      <c r="D14" s="386">
        <f>Data!F6</f>
        <v>0</v>
      </c>
      <c r="E14" s="386">
        <f>Data!G6</f>
        <v>0</v>
      </c>
      <c r="F14" s="772"/>
      <c r="G14" s="793"/>
      <c r="H14" s="447" t="s">
        <v>102</v>
      </c>
      <c r="I14" s="447">
        <f>Data!F26</f>
        <v>0</v>
      </c>
      <c r="J14" s="447">
        <f>Data!G26</f>
        <v>0</v>
      </c>
      <c r="K14" s="772"/>
      <c r="L14" s="783"/>
      <c r="M14" s="447" t="s">
        <v>102</v>
      </c>
      <c r="N14" s="447">
        <f>Data!F46</f>
        <v>0</v>
      </c>
      <c r="O14" s="447">
        <f>Data!G46</f>
        <v>0</v>
      </c>
      <c r="P14" s="772"/>
      <c r="Q14" s="784"/>
      <c r="R14" s="447" t="s">
        <v>102</v>
      </c>
      <c r="S14" s="447">
        <f>Data!F66</f>
        <v>0</v>
      </c>
      <c r="T14" s="447">
        <f>Data!G66</f>
        <v>0</v>
      </c>
      <c r="U14" s="772"/>
      <c r="V14" s="786"/>
      <c r="W14" s="447" t="s">
        <v>102</v>
      </c>
      <c r="X14" s="447">
        <f>Data!F86</f>
        <v>0</v>
      </c>
      <c r="Y14" s="447">
        <f>Data!G86</f>
        <v>0</v>
      </c>
      <c r="Z14" s="772"/>
      <c r="AA14" s="787"/>
      <c r="AB14" s="447" t="s">
        <v>102</v>
      </c>
      <c r="AC14" s="447">
        <f>Data!F106</f>
        <v>0</v>
      </c>
      <c r="AD14" s="447">
        <f>Data!G106</f>
        <v>0</v>
      </c>
      <c r="AE14" s="772"/>
      <c r="AF14" s="794"/>
      <c r="AG14" s="447" t="s">
        <v>102</v>
      </c>
      <c r="AH14" s="447">
        <f>Data!F126</f>
        <v>0</v>
      </c>
      <c r="AI14" s="447">
        <f>Data!G126</f>
        <v>0</v>
      </c>
      <c r="AJ14" s="772"/>
      <c r="AK14" s="789"/>
      <c r="AL14" s="447" t="s">
        <v>102</v>
      </c>
      <c r="AM14" s="447">
        <f>Data!F146</f>
        <v>0</v>
      </c>
      <c r="AN14" s="447">
        <f>Data!G146</f>
        <v>0</v>
      </c>
      <c r="AO14" s="772"/>
      <c r="AP14" s="790"/>
      <c r="AQ14" s="447" t="s">
        <v>102</v>
      </c>
      <c r="AR14" s="447">
        <f>Data!F166</f>
        <v>0</v>
      </c>
      <c r="AS14" s="447">
        <f>Data!G166</f>
        <v>0</v>
      </c>
      <c r="AT14" s="772"/>
      <c r="AU14" s="791"/>
      <c r="AV14" s="447" t="s">
        <v>102</v>
      </c>
      <c r="AW14" s="447">
        <f>Data!F186</f>
        <v>0</v>
      </c>
      <c r="AX14" s="447">
        <f>Data!G186</f>
        <v>0</v>
      </c>
      <c r="AY14" s="772"/>
      <c r="AZ14" s="429"/>
      <c r="BA14" s="447" t="s">
        <v>102</v>
      </c>
      <c r="BB14" s="447">
        <f>Data!F206</f>
        <v>0</v>
      </c>
      <c r="BC14" s="447">
        <f>Data!G206</f>
        <v>0</v>
      </c>
      <c r="BD14" s="770"/>
      <c r="BE14" s="792"/>
      <c r="BF14" s="447" t="s">
        <v>102</v>
      </c>
      <c r="BG14" s="447">
        <f>Data!F226</f>
        <v>0</v>
      </c>
      <c r="BH14" s="447">
        <f>Data!G226</f>
        <v>0</v>
      </c>
    </row>
    <row r="15" spans="1:60" s="208" customFormat="1" ht="15" customHeight="1">
      <c r="A15" s="780"/>
      <c r="B15" s="778"/>
      <c r="C15" s="386"/>
      <c r="D15" s="386"/>
      <c r="E15" s="386"/>
      <c r="F15" s="772"/>
      <c r="G15" s="793"/>
      <c r="H15" s="447"/>
      <c r="I15" s="447"/>
      <c r="J15" s="447"/>
      <c r="K15" s="772"/>
      <c r="L15" s="783"/>
      <c r="M15" s="447"/>
      <c r="N15" s="447"/>
      <c r="O15" s="447"/>
      <c r="P15" s="772"/>
      <c r="Q15" s="784"/>
      <c r="R15" s="447"/>
      <c r="S15" s="447"/>
      <c r="T15" s="447"/>
      <c r="U15" s="772"/>
      <c r="V15" s="786"/>
      <c r="W15" s="447"/>
      <c r="X15" s="447"/>
      <c r="Y15" s="447"/>
      <c r="Z15" s="772"/>
      <c r="AA15" s="787"/>
      <c r="AB15" s="447"/>
      <c r="AC15" s="447"/>
      <c r="AD15" s="447"/>
      <c r="AE15" s="772"/>
      <c r="AF15" s="794"/>
      <c r="AG15" s="447"/>
      <c r="AH15" s="447"/>
      <c r="AI15" s="447"/>
      <c r="AJ15" s="772"/>
      <c r="AK15" s="789"/>
      <c r="AL15" s="447"/>
      <c r="AM15" s="447"/>
      <c r="AN15" s="447"/>
      <c r="AO15" s="772"/>
      <c r="AP15" s="790"/>
      <c r="AQ15" s="447"/>
      <c r="AR15" s="447"/>
      <c r="AS15" s="447"/>
      <c r="AT15" s="772"/>
      <c r="AU15" s="791"/>
      <c r="AV15" s="447"/>
      <c r="AW15" s="447"/>
      <c r="AX15" s="447"/>
      <c r="AY15" s="772"/>
      <c r="AZ15" s="429"/>
      <c r="BA15" s="447"/>
      <c r="BB15" s="447"/>
      <c r="BC15" s="447"/>
      <c r="BD15" s="770"/>
      <c r="BE15" s="792"/>
      <c r="BF15" s="447"/>
      <c r="BG15" s="447"/>
      <c r="BH15" s="447"/>
    </row>
    <row r="16" spans="1:60" s="208" customFormat="1" ht="15" customHeight="1">
      <c r="A16" s="780"/>
      <c r="B16" s="778"/>
      <c r="C16" s="386" t="s">
        <v>50</v>
      </c>
      <c r="D16" s="386">
        <f>Data!F7</f>
        <v>0</v>
      </c>
      <c r="E16" s="386">
        <f>Data!G7</f>
        <v>0</v>
      </c>
      <c r="F16" s="772"/>
      <c r="G16" s="793"/>
      <c r="H16" s="447" t="s">
        <v>50</v>
      </c>
      <c r="I16" s="447">
        <f>Data!F27</f>
        <v>0</v>
      </c>
      <c r="J16" s="447">
        <f>Data!G27</f>
        <v>3.48333</v>
      </c>
      <c r="K16" s="772"/>
      <c r="L16" s="783"/>
      <c r="M16" s="447" t="s">
        <v>50</v>
      </c>
      <c r="N16" s="447">
        <f>Data!F47</f>
        <v>0</v>
      </c>
      <c r="O16" s="447">
        <f>Data!G47</f>
        <v>4.4000000000000004</v>
      </c>
      <c r="P16" s="772"/>
      <c r="Q16" s="784"/>
      <c r="R16" s="447" t="s">
        <v>50</v>
      </c>
      <c r="S16" s="447">
        <f>Data!F67</f>
        <v>0</v>
      </c>
      <c r="T16" s="447">
        <f>Data!G67</f>
        <v>0</v>
      </c>
      <c r="U16" s="772"/>
      <c r="V16" s="786"/>
      <c r="W16" s="447" t="s">
        <v>50</v>
      </c>
      <c r="X16" s="447">
        <f>Data!F87</f>
        <v>0</v>
      </c>
      <c r="Y16" s="447">
        <f>Data!G87</f>
        <v>0</v>
      </c>
      <c r="Z16" s="772"/>
      <c r="AA16" s="787"/>
      <c r="AB16" s="447" t="s">
        <v>50</v>
      </c>
      <c r="AC16" s="447">
        <f>Data!F107</f>
        <v>0</v>
      </c>
      <c r="AD16" s="447">
        <f>Data!G107</f>
        <v>0</v>
      </c>
      <c r="AE16" s="772"/>
      <c r="AF16" s="794"/>
      <c r="AG16" s="447" t="s">
        <v>50</v>
      </c>
      <c r="AH16" s="447">
        <f>Data!F127</f>
        <v>0</v>
      </c>
      <c r="AI16" s="447">
        <f>Data!G127</f>
        <v>0</v>
      </c>
      <c r="AJ16" s="772"/>
      <c r="AK16" s="789"/>
      <c r="AL16" s="447" t="s">
        <v>50</v>
      </c>
      <c r="AM16" s="447">
        <f>Data!F147</f>
        <v>0</v>
      </c>
      <c r="AN16" s="447">
        <f>Data!G147</f>
        <v>0</v>
      </c>
      <c r="AO16" s="772"/>
      <c r="AP16" s="790"/>
      <c r="AQ16" s="447" t="s">
        <v>50</v>
      </c>
      <c r="AR16" s="447">
        <f>Data!F167</f>
        <v>0</v>
      </c>
      <c r="AS16" s="447">
        <f>Data!G167</f>
        <v>0</v>
      </c>
      <c r="AT16" s="772"/>
      <c r="AU16" s="791"/>
      <c r="AV16" s="447" t="s">
        <v>50</v>
      </c>
      <c r="AW16" s="447">
        <f>Data!F187</f>
        <v>0</v>
      </c>
      <c r="AX16" s="447">
        <f>Data!G187</f>
        <v>0</v>
      </c>
      <c r="AY16" s="772"/>
      <c r="AZ16" s="429"/>
      <c r="BA16" s="447" t="s">
        <v>50</v>
      </c>
      <c r="BB16" s="447">
        <f>Data!F207</f>
        <v>0</v>
      </c>
      <c r="BC16" s="447">
        <f>Data!G207</f>
        <v>0</v>
      </c>
      <c r="BD16" s="770"/>
      <c r="BE16" s="792"/>
      <c r="BF16" s="447" t="s">
        <v>50</v>
      </c>
      <c r="BG16" s="447">
        <f>Data!F227</f>
        <v>0</v>
      </c>
      <c r="BH16" s="447">
        <f>Data!G227</f>
        <v>0</v>
      </c>
    </row>
    <row r="17" spans="1:67" s="208" customFormat="1" ht="15" customHeight="1">
      <c r="A17" s="780"/>
      <c r="B17" s="778"/>
      <c r="C17" s="386"/>
      <c r="D17" s="386"/>
      <c r="E17" s="386"/>
      <c r="F17" s="772"/>
      <c r="G17" s="793"/>
      <c r="H17" s="447"/>
      <c r="I17" s="447"/>
      <c r="J17" s="447"/>
      <c r="K17" s="772"/>
      <c r="L17" s="783"/>
      <c r="M17" s="447"/>
      <c r="N17" s="447"/>
      <c r="O17" s="447"/>
      <c r="P17" s="772"/>
      <c r="Q17" s="784"/>
      <c r="R17" s="447"/>
      <c r="S17" s="447"/>
      <c r="T17" s="447"/>
      <c r="U17" s="772"/>
      <c r="V17" s="786"/>
      <c r="W17" s="447"/>
      <c r="X17" s="447"/>
      <c r="Y17" s="447"/>
      <c r="Z17" s="772"/>
      <c r="AA17" s="787"/>
      <c r="AB17" s="447"/>
      <c r="AC17" s="447"/>
      <c r="AD17" s="447"/>
      <c r="AE17" s="772"/>
      <c r="AF17" s="794"/>
      <c r="AG17" s="447"/>
      <c r="AH17" s="447"/>
      <c r="AI17" s="447"/>
      <c r="AJ17" s="772"/>
      <c r="AK17" s="789"/>
      <c r="AL17" s="447"/>
      <c r="AM17" s="447"/>
      <c r="AN17" s="447"/>
      <c r="AO17" s="772"/>
      <c r="AP17" s="790"/>
      <c r="AQ17" s="447"/>
      <c r="AR17" s="447"/>
      <c r="AS17" s="447"/>
      <c r="AT17" s="772"/>
      <c r="AU17" s="791"/>
      <c r="AV17" s="447"/>
      <c r="AW17" s="447"/>
      <c r="AX17" s="447"/>
      <c r="AY17" s="772"/>
      <c r="AZ17" s="429"/>
      <c r="BA17" s="447"/>
      <c r="BB17" s="447"/>
      <c r="BC17" s="447"/>
      <c r="BD17" s="770"/>
      <c r="BE17" s="792"/>
      <c r="BF17" s="447"/>
      <c r="BG17" s="447"/>
      <c r="BH17" s="447"/>
      <c r="BI17" s="776"/>
      <c r="BJ17" s="776"/>
      <c r="BK17" s="776"/>
      <c r="BL17" s="776"/>
      <c r="BM17" s="776"/>
      <c r="BN17" s="776"/>
      <c r="BO17" s="776"/>
    </row>
    <row r="18" spans="1:67" s="208" customFormat="1" ht="15" customHeight="1">
      <c r="A18" s="777"/>
      <c r="B18" s="778"/>
      <c r="C18" s="386" t="s">
        <v>51</v>
      </c>
      <c r="D18" s="386">
        <f>Data!F8</f>
        <v>0</v>
      </c>
      <c r="E18" s="386">
        <f>Data!G8</f>
        <v>10.216670000000001</v>
      </c>
      <c r="F18" s="785"/>
      <c r="G18" s="793"/>
      <c r="H18" s="447" t="s">
        <v>51</v>
      </c>
      <c r="I18" s="447">
        <f>Data!F28</f>
        <v>0</v>
      </c>
      <c r="J18" s="447">
        <f>Data!G28</f>
        <v>0</v>
      </c>
      <c r="K18" s="785"/>
      <c r="L18" s="783"/>
      <c r="M18" s="447" t="s">
        <v>51</v>
      </c>
      <c r="N18" s="447">
        <f>Data!F48</f>
        <v>0</v>
      </c>
      <c r="O18" s="447">
        <f>Data!G48</f>
        <v>0</v>
      </c>
      <c r="P18" s="785"/>
      <c r="Q18" s="784"/>
      <c r="R18" s="447" t="s">
        <v>51</v>
      </c>
      <c r="S18" s="447">
        <f>Data!F68</f>
        <v>0</v>
      </c>
      <c r="T18" s="447">
        <f>Data!G68</f>
        <v>0</v>
      </c>
      <c r="U18" s="785"/>
      <c r="V18" s="786"/>
      <c r="W18" s="447" t="s">
        <v>51</v>
      </c>
      <c r="X18" s="447">
        <f>Data!F88</f>
        <v>0</v>
      </c>
      <c r="Y18" s="447">
        <f>Data!G88</f>
        <v>0</v>
      </c>
      <c r="Z18" s="785"/>
      <c r="AA18" s="787"/>
      <c r="AB18" s="447" t="s">
        <v>51</v>
      </c>
      <c r="AC18" s="447">
        <f>Data!F108</f>
        <v>0</v>
      </c>
      <c r="AD18" s="447">
        <f>Data!G108</f>
        <v>0</v>
      </c>
      <c r="AE18" s="785"/>
      <c r="AF18" s="794"/>
      <c r="AG18" s="447" t="s">
        <v>51</v>
      </c>
      <c r="AH18" s="447">
        <f>Data!F128</f>
        <v>0</v>
      </c>
      <c r="AI18" s="447">
        <f>Data!G128</f>
        <v>0</v>
      </c>
      <c r="AJ18" s="785"/>
      <c r="AK18" s="789"/>
      <c r="AL18" s="447" t="s">
        <v>51</v>
      </c>
      <c r="AM18" s="447">
        <f>Data!F148</f>
        <v>0</v>
      </c>
      <c r="AN18" s="447">
        <f>Data!G148</f>
        <v>0</v>
      </c>
      <c r="AO18" s="785"/>
      <c r="AP18" s="790"/>
      <c r="AQ18" s="447" t="s">
        <v>51</v>
      </c>
      <c r="AR18" s="447">
        <f>Data!F168</f>
        <v>0</v>
      </c>
      <c r="AS18" s="447">
        <f>Data!G168</f>
        <v>0</v>
      </c>
      <c r="AT18" s="785"/>
      <c r="AU18" s="791"/>
      <c r="AV18" s="447" t="s">
        <v>51</v>
      </c>
      <c r="AW18" s="447">
        <f>Data!F188</f>
        <v>0</v>
      </c>
      <c r="AX18" s="447">
        <f>Data!G188</f>
        <v>0</v>
      </c>
      <c r="AY18" s="785"/>
      <c r="AZ18" s="429"/>
      <c r="BA18" s="447" t="s">
        <v>51</v>
      </c>
      <c r="BB18" s="447">
        <f>Data!F208</f>
        <v>0</v>
      </c>
      <c r="BC18" s="447">
        <f>Data!G208</f>
        <v>0</v>
      </c>
      <c r="BD18" s="781"/>
      <c r="BE18" s="792"/>
      <c r="BF18" s="447" t="s">
        <v>51</v>
      </c>
      <c r="BG18" s="447">
        <f>Data!F228</f>
        <v>0</v>
      </c>
      <c r="BH18" s="447">
        <f>Data!G228</f>
        <v>0</v>
      </c>
      <c r="BI18" s="776"/>
      <c r="BJ18" s="776"/>
      <c r="BK18" s="776"/>
      <c r="BL18" s="776"/>
      <c r="BM18" s="776"/>
      <c r="BN18" s="776"/>
      <c r="BO18" s="776"/>
    </row>
    <row r="19" spans="1:67" s="208" customFormat="1" ht="15" customHeight="1">
      <c r="A19" s="777"/>
      <c r="B19" s="778"/>
      <c r="C19" s="386"/>
      <c r="D19" s="386"/>
      <c r="E19" s="386"/>
      <c r="F19" s="785"/>
      <c r="G19" s="793"/>
      <c r="H19" s="447"/>
      <c r="I19" s="447"/>
      <c r="J19" s="447"/>
      <c r="K19" s="785"/>
      <c r="L19" s="783"/>
      <c r="M19" s="447"/>
      <c r="N19" s="447"/>
      <c r="O19" s="447"/>
      <c r="P19" s="785"/>
      <c r="Q19" s="784"/>
      <c r="R19" s="447"/>
      <c r="S19" s="447"/>
      <c r="T19" s="447"/>
      <c r="U19" s="785"/>
      <c r="V19" s="786"/>
      <c r="W19" s="447"/>
      <c r="X19" s="447"/>
      <c r="Y19" s="447"/>
      <c r="Z19" s="785"/>
      <c r="AA19" s="787"/>
      <c r="AB19" s="447"/>
      <c r="AC19" s="447"/>
      <c r="AD19" s="447"/>
      <c r="AE19" s="785"/>
      <c r="AF19" s="794"/>
      <c r="AG19" s="447"/>
      <c r="AH19" s="447"/>
      <c r="AI19" s="447"/>
      <c r="AJ19" s="785"/>
      <c r="AK19" s="789"/>
      <c r="AL19" s="447"/>
      <c r="AM19" s="447"/>
      <c r="AN19" s="447"/>
      <c r="AO19" s="785"/>
      <c r="AP19" s="790"/>
      <c r="AQ19" s="447"/>
      <c r="AR19" s="447"/>
      <c r="AS19" s="447"/>
      <c r="AT19" s="785"/>
      <c r="AU19" s="791"/>
      <c r="AV19" s="447"/>
      <c r="AW19" s="447"/>
      <c r="AX19" s="447"/>
      <c r="AY19" s="785"/>
      <c r="AZ19" s="429"/>
      <c r="BA19" s="447"/>
      <c r="BB19" s="447"/>
      <c r="BC19" s="447"/>
      <c r="BD19" s="781"/>
      <c r="BE19" s="792"/>
      <c r="BF19" s="447"/>
      <c r="BG19" s="447"/>
      <c r="BH19" s="447"/>
      <c r="BI19" s="776"/>
      <c r="BJ19" s="776"/>
      <c r="BK19" s="776"/>
      <c r="BL19" s="776"/>
      <c r="BM19" s="776"/>
      <c r="BN19" s="776"/>
      <c r="BO19" s="776"/>
    </row>
    <row r="20" spans="1:67" s="208" customFormat="1" ht="15" customHeight="1">
      <c r="A20" s="777"/>
      <c r="B20" s="778"/>
      <c r="C20" s="386" t="s">
        <v>52</v>
      </c>
      <c r="D20" s="386">
        <f>Data!F9</f>
        <v>0</v>
      </c>
      <c r="E20" s="386">
        <f>Data!G9</f>
        <v>0</v>
      </c>
      <c r="F20" s="785"/>
      <c r="G20" s="793"/>
      <c r="H20" s="447" t="s">
        <v>52</v>
      </c>
      <c r="I20" s="447">
        <f>Data!F29</f>
        <v>13.333299999999999</v>
      </c>
      <c r="J20" s="447">
        <f>Data!G29</f>
        <v>5.05</v>
      </c>
      <c r="K20" s="785"/>
      <c r="L20" s="783"/>
      <c r="M20" s="447" t="s">
        <v>52</v>
      </c>
      <c r="N20" s="447">
        <f>Data!F49</f>
        <v>31.183299999999999</v>
      </c>
      <c r="O20" s="447">
        <f>Data!G49</f>
        <v>63.349969999999999</v>
      </c>
      <c r="P20" s="785"/>
      <c r="Q20" s="784"/>
      <c r="R20" s="447" t="s">
        <v>52</v>
      </c>
      <c r="S20" s="447">
        <f>Data!F69</f>
        <v>0</v>
      </c>
      <c r="T20" s="447">
        <f>Data!G69</f>
        <v>24.83333</v>
      </c>
      <c r="U20" s="785"/>
      <c r="V20" s="786"/>
      <c r="W20" s="447" t="s">
        <v>52</v>
      </c>
      <c r="X20" s="447">
        <f>Data!F89</f>
        <v>0</v>
      </c>
      <c r="Y20" s="447">
        <f>Data!G89</f>
        <v>0</v>
      </c>
      <c r="Z20" s="785"/>
      <c r="AA20" s="787"/>
      <c r="AB20" s="447" t="s">
        <v>52</v>
      </c>
      <c r="AC20" s="447">
        <f>Data!F109</f>
        <v>0</v>
      </c>
      <c r="AD20" s="447">
        <f>Data!G109</f>
        <v>0</v>
      </c>
      <c r="AE20" s="785"/>
      <c r="AF20" s="794"/>
      <c r="AG20" s="447" t="s">
        <v>52</v>
      </c>
      <c r="AH20" s="447">
        <f>Data!F129</f>
        <v>0</v>
      </c>
      <c r="AI20" s="447">
        <f>Data!G129</f>
        <v>0</v>
      </c>
      <c r="AJ20" s="785"/>
      <c r="AK20" s="789"/>
      <c r="AL20" s="447" t="s">
        <v>52</v>
      </c>
      <c r="AM20" s="447">
        <f>Data!F149</f>
        <v>0</v>
      </c>
      <c r="AN20" s="447">
        <f>Data!G149</f>
        <v>0</v>
      </c>
      <c r="AO20" s="785"/>
      <c r="AP20" s="790"/>
      <c r="AQ20" s="447" t="s">
        <v>52</v>
      </c>
      <c r="AR20" s="447">
        <f>Data!F169</f>
        <v>0</v>
      </c>
      <c r="AS20" s="447">
        <f>Data!G169</f>
        <v>0</v>
      </c>
      <c r="AT20" s="785"/>
      <c r="AU20" s="791"/>
      <c r="AV20" s="447" t="s">
        <v>52</v>
      </c>
      <c r="AW20" s="447">
        <f>Data!F189</f>
        <v>0</v>
      </c>
      <c r="AX20" s="447">
        <f>Data!G189</f>
        <v>0</v>
      </c>
      <c r="AY20" s="785"/>
      <c r="AZ20" s="429"/>
      <c r="BA20" s="447" t="s">
        <v>52</v>
      </c>
      <c r="BB20" s="447">
        <f>Data!F209</f>
        <v>0</v>
      </c>
      <c r="BC20" s="447">
        <f>Data!G209</f>
        <v>0</v>
      </c>
      <c r="BD20" s="781"/>
      <c r="BE20" s="792"/>
      <c r="BF20" s="447" t="s">
        <v>52</v>
      </c>
      <c r="BG20" s="447">
        <f>Data!F229</f>
        <v>0</v>
      </c>
      <c r="BH20" s="447">
        <f>Data!G229</f>
        <v>0</v>
      </c>
      <c r="BI20" s="776"/>
      <c r="BJ20" s="776"/>
      <c r="BK20" s="776"/>
      <c r="BL20" s="776"/>
      <c r="BM20" s="776"/>
      <c r="BN20" s="776"/>
      <c r="BO20" s="776"/>
    </row>
    <row r="21" spans="1:67" s="208" customFormat="1" ht="15" customHeight="1">
      <c r="A21" s="777"/>
      <c r="B21" s="778"/>
      <c r="C21" s="386"/>
      <c r="D21" s="386"/>
      <c r="E21" s="386"/>
      <c r="F21" s="785"/>
      <c r="G21" s="793"/>
      <c r="H21" s="447"/>
      <c r="I21" s="447"/>
      <c r="J21" s="447"/>
      <c r="K21" s="785"/>
      <c r="L21" s="783"/>
      <c r="M21" s="447"/>
      <c r="N21" s="447"/>
      <c r="O21" s="447"/>
      <c r="P21" s="785"/>
      <c r="Q21" s="784"/>
      <c r="R21" s="447"/>
      <c r="S21" s="447"/>
      <c r="T21" s="447"/>
      <c r="U21" s="785"/>
      <c r="V21" s="786"/>
      <c r="W21" s="447"/>
      <c r="X21" s="447"/>
      <c r="Y21" s="447"/>
      <c r="Z21" s="785"/>
      <c r="AA21" s="787"/>
      <c r="AB21" s="447"/>
      <c r="AC21" s="447"/>
      <c r="AD21" s="447"/>
      <c r="AE21" s="785"/>
      <c r="AF21" s="794"/>
      <c r="AG21" s="447"/>
      <c r="AH21" s="447"/>
      <c r="AI21" s="447"/>
      <c r="AJ21" s="785"/>
      <c r="AK21" s="789"/>
      <c r="AL21" s="447"/>
      <c r="AM21" s="447"/>
      <c r="AN21" s="447"/>
      <c r="AO21" s="785"/>
      <c r="AP21" s="790"/>
      <c r="AQ21" s="447"/>
      <c r="AR21" s="447"/>
      <c r="AS21" s="447"/>
      <c r="AT21" s="785"/>
      <c r="AU21" s="791"/>
      <c r="AV21" s="447"/>
      <c r="AW21" s="447"/>
      <c r="AX21" s="447"/>
      <c r="AY21" s="785"/>
      <c r="AZ21" s="429"/>
      <c r="BA21" s="447"/>
      <c r="BB21" s="447"/>
      <c r="BC21" s="447"/>
      <c r="BD21" s="781"/>
      <c r="BE21" s="792"/>
      <c r="BF21" s="447"/>
      <c r="BG21" s="447"/>
      <c r="BH21" s="447"/>
      <c r="BI21" s="776"/>
      <c r="BJ21" s="776"/>
      <c r="BK21" s="776"/>
      <c r="BL21" s="776"/>
      <c r="BM21" s="776"/>
      <c r="BN21" s="776"/>
      <c r="BO21" s="776"/>
    </row>
    <row r="22" spans="1:67" s="208" customFormat="1" ht="15" customHeight="1">
      <c r="A22" s="780"/>
      <c r="B22" s="778"/>
      <c r="C22" s="386" t="s">
        <v>53</v>
      </c>
      <c r="D22" s="386">
        <f>Data!F10</f>
        <v>0</v>
      </c>
      <c r="E22" s="386">
        <f>Data!G10</f>
        <v>45.6</v>
      </c>
      <c r="F22" s="772"/>
      <c r="G22" s="793"/>
      <c r="H22" s="447" t="s">
        <v>53</v>
      </c>
      <c r="I22" s="447">
        <f>Data!F30</f>
        <v>0</v>
      </c>
      <c r="J22" s="447">
        <f>Data!G30</f>
        <v>28.000000000000004</v>
      </c>
      <c r="K22" s="772"/>
      <c r="L22" s="783"/>
      <c r="M22" s="447" t="s">
        <v>53</v>
      </c>
      <c r="N22" s="447">
        <f>Data!F50</f>
        <v>20</v>
      </c>
      <c r="O22" s="447">
        <f>Data!G50</f>
        <v>52.766629999999999</v>
      </c>
      <c r="P22" s="772"/>
      <c r="Q22" s="784"/>
      <c r="R22" s="447" t="s">
        <v>53</v>
      </c>
      <c r="S22" s="447">
        <f>Data!F70</f>
        <v>0</v>
      </c>
      <c r="T22" s="447">
        <f>Data!G70</f>
        <v>16.66667</v>
      </c>
      <c r="U22" s="772"/>
      <c r="V22" s="786"/>
      <c r="W22" s="447" t="s">
        <v>53</v>
      </c>
      <c r="X22" s="447">
        <f>Data!F90</f>
        <v>0</v>
      </c>
      <c r="Y22" s="447">
        <f>Data!G90</f>
        <v>0</v>
      </c>
      <c r="Z22" s="772"/>
      <c r="AA22" s="787"/>
      <c r="AB22" s="447" t="s">
        <v>53</v>
      </c>
      <c r="AC22" s="447">
        <f>Data!F110</f>
        <v>0</v>
      </c>
      <c r="AD22" s="447">
        <f>Data!G110</f>
        <v>0</v>
      </c>
      <c r="AE22" s="772"/>
      <c r="AF22" s="794"/>
      <c r="AG22" s="447" t="s">
        <v>53</v>
      </c>
      <c r="AH22" s="447">
        <f>Data!F130</f>
        <v>0</v>
      </c>
      <c r="AI22" s="447">
        <f>Data!G130</f>
        <v>0</v>
      </c>
      <c r="AJ22" s="772"/>
      <c r="AK22" s="789"/>
      <c r="AL22" s="447" t="s">
        <v>53</v>
      </c>
      <c r="AM22" s="447">
        <f>Data!F150</f>
        <v>0</v>
      </c>
      <c r="AN22" s="447">
        <f>Data!G150</f>
        <v>0</v>
      </c>
      <c r="AO22" s="772"/>
      <c r="AP22" s="790"/>
      <c r="AQ22" s="447" t="s">
        <v>53</v>
      </c>
      <c r="AR22" s="447">
        <f>Data!F170</f>
        <v>0</v>
      </c>
      <c r="AS22" s="447">
        <f>Data!G170</f>
        <v>0</v>
      </c>
      <c r="AT22" s="772"/>
      <c r="AU22" s="791"/>
      <c r="AV22" s="447" t="s">
        <v>53</v>
      </c>
      <c r="AW22" s="447">
        <f>Data!F190</f>
        <v>0</v>
      </c>
      <c r="AX22" s="447">
        <f>Data!G190</f>
        <v>0</v>
      </c>
      <c r="AY22" s="772"/>
      <c r="AZ22" s="429"/>
      <c r="BA22" s="447" t="s">
        <v>53</v>
      </c>
      <c r="BB22" s="447">
        <f>Data!F210</f>
        <v>0</v>
      </c>
      <c r="BC22" s="447">
        <f>Data!G210</f>
        <v>0</v>
      </c>
      <c r="BD22" s="770"/>
      <c r="BE22" s="792"/>
      <c r="BF22" s="447" t="s">
        <v>53</v>
      </c>
      <c r="BG22" s="447">
        <f>Data!F230</f>
        <v>0</v>
      </c>
      <c r="BH22" s="447">
        <f>Data!G230</f>
        <v>0</v>
      </c>
      <c r="BI22" s="776"/>
      <c r="BJ22" s="776"/>
      <c r="BK22" s="776"/>
      <c r="BL22" s="776"/>
      <c r="BM22" s="776"/>
      <c r="BN22" s="776"/>
      <c r="BO22" s="776"/>
    </row>
    <row r="23" spans="1:67" s="208" customFormat="1" ht="15" customHeight="1">
      <c r="A23" s="780"/>
      <c r="B23" s="778"/>
      <c r="C23" s="386"/>
      <c r="D23" s="386"/>
      <c r="E23" s="386"/>
      <c r="F23" s="772"/>
      <c r="G23" s="793"/>
      <c r="H23" s="447"/>
      <c r="I23" s="447"/>
      <c r="J23" s="447"/>
      <c r="K23" s="772"/>
      <c r="L23" s="783"/>
      <c r="M23" s="447"/>
      <c r="N23" s="447"/>
      <c r="O23" s="447"/>
      <c r="P23" s="772"/>
      <c r="Q23" s="784"/>
      <c r="R23" s="447"/>
      <c r="S23" s="447"/>
      <c r="T23" s="447"/>
      <c r="U23" s="772"/>
      <c r="V23" s="786"/>
      <c r="W23" s="447"/>
      <c r="X23" s="447"/>
      <c r="Y23" s="447"/>
      <c r="Z23" s="772"/>
      <c r="AA23" s="787"/>
      <c r="AB23" s="447"/>
      <c r="AC23" s="447"/>
      <c r="AD23" s="447"/>
      <c r="AE23" s="772"/>
      <c r="AF23" s="794"/>
      <c r="AG23" s="447"/>
      <c r="AH23" s="447"/>
      <c r="AI23" s="447"/>
      <c r="AJ23" s="772"/>
      <c r="AK23" s="789"/>
      <c r="AL23" s="447"/>
      <c r="AM23" s="447"/>
      <c r="AN23" s="447"/>
      <c r="AO23" s="772"/>
      <c r="AP23" s="790"/>
      <c r="AQ23" s="447"/>
      <c r="AR23" s="447"/>
      <c r="AS23" s="447"/>
      <c r="AT23" s="772"/>
      <c r="AU23" s="791"/>
      <c r="AV23" s="447"/>
      <c r="AW23" s="447"/>
      <c r="AX23" s="447"/>
      <c r="AY23" s="772"/>
      <c r="AZ23" s="429"/>
      <c r="BA23" s="447"/>
      <c r="BB23" s="447"/>
      <c r="BC23" s="447"/>
      <c r="BD23" s="770"/>
      <c r="BE23" s="792"/>
      <c r="BF23" s="447"/>
      <c r="BG23" s="447"/>
      <c r="BH23" s="447"/>
      <c r="BI23" s="776"/>
      <c r="BJ23" s="776"/>
      <c r="BK23" s="776"/>
      <c r="BL23" s="776"/>
      <c r="BM23" s="776"/>
      <c r="BN23" s="776"/>
      <c r="BO23" s="776"/>
    </row>
    <row r="24" spans="1:67" s="208" customFormat="1" ht="15" customHeight="1">
      <c r="A24" s="777"/>
      <c r="B24" s="778"/>
      <c r="C24" s="386" t="s">
        <v>54</v>
      </c>
      <c r="D24" s="386">
        <f>Data!F11</f>
        <v>0</v>
      </c>
      <c r="E24" s="386">
        <f>Data!G11</f>
        <v>0</v>
      </c>
      <c r="F24" s="785"/>
      <c r="G24" s="793"/>
      <c r="H24" s="447" t="s">
        <v>54</v>
      </c>
      <c r="I24" s="447">
        <f>Data!F31</f>
        <v>1</v>
      </c>
      <c r="J24" s="447">
        <f>Data!G31</f>
        <v>0</v>
      </c>
      <c r="K24" s="785"/>
      <c r="L24" s="783"/>
      <c r="M24" s="447" t="s">
        <v>54</v>
      </c>
      <c r="N24" s="447">
        <f>Data!F51</f>
        <v>4.6666699999999999</v>
      </c>
      <c r="O24" s="447">
        <f>Data!G51</f>
        <v>0</v>
      </c>
      <c r="P24" s="785"/>
      <c r="Q24" s="784"/>
      <c r="R24" s="447" t="s">
        <v>54</v>
      </c>
      <c r="S24" s="447">
        <f>Data!F71</f>
        <v>24.066659999999999</v>
      </c>
      <c r="T24" s="447">
        <f>Data!G71</f>
        <v>5.4166699999999999</v>
      </c>
      <c r="U24" s="785"/>
      <c r="V24" s="786"/>
      <c r="W24" s="447" t="s">
        <v>54</v>
      </c>
      <c r="X24" s="447">
        <f>Data!F91</f>
        <v>0</v>
      </c>
      <c r="Y24" s="447">
        <f>Data!G91</f>
        <v>0</v>
      </c>
      <c r="Z24" s="785"/>
      <c r="AA24" s="787"/>
      <c r="AB24" s="447" t="s">
        <v>54</v>
      </c>
      <c r="AC24" s="447">
        <f>Data!F111</f>
        <v>0</v>
      </c>
      <c r="AD24" s="447">
        <f>Data!G111</f>
        <v>0</v>
      </c>
      <c r="AE24" s="785"/>
      <c r="AF24" s="794"/>
      <c r="AG24" s="447" t="s">
        <v>54</v>
      </c>
      <c r="AH24" s="447">
        <f>Data!F131</f>
        <v>0</v>
      </c>
      <c r="AI24" s="447">
        <f>Data!G131</f>
        <v>0</v>
      </c>
      <c r="AJ24" s="785"/>
      <c r="AK24" s="789"/>
      <c r="AL24" s="447" t="s">
        <v>54</v>
      </c>
      <c r="AM24" s="447">
        <f>Data!F151</f>
        <v>0</v>
      </c>
      <c r="AN24" s="447">
        <f>Data!G151</f>
        <v>0</v>
      </c>
      <c r="AO24" s="772"/>
      <c r="AP24" s="790"/>
      <c r="AQ24" s="447" t="s">
        <v>54</v>
      </c>
      <c r="AR24" s="447">
        <f>Data!F171</f>
        <v>0</v>
      </c>
      <c r="AS24" s="447">
        <f>Data!G171</f>
        <v>0</v>
      </c>
      <c r="AT24" s="772"/>
      <c r="AU24" s="791"/>
      <c r="AV24" s="447"/>
      <c r="AW24" s="447">
        <f>Data!F191</f>
        <v>0</v>
      </c>
      <c r="AX24" s="447">
        <f>Data!G191</f>
        <v>0</v>
      </c>
      <c r="AY24" s="772"/>
      <c r="AZ24" s="429"/>
      <c r="BA24" s="447" t="s">
        <v>54</v>
      </c>
      <c r="BB24" s="447">
        <f>Data!F211</f>
        <v>0</v>
      </c>
      <c r="BC24" s="447">
        <f>Data!G211</f>
        <v>0</v>
      </c>
      <c r="BD24" s="770"/>
      <c r="BE24" s="792"/>
      <c r="BF24" s="447" t="s">
        <v>54</v>
      </c>
      <c r="BG24" s="447">
        <f>Data!F231</f>
        <v>0</v>
      </c>
      <c r="BH24" s="447">
        <f>Data!G231</f>
        <v>0</v>
      </c>
      <c r="BI24" s="776"/>
      <c r="BJ24" s="776"/>
      <c r="BK24" s="776"/>
      <c r="BL24" s="776"/>
      <c r="BM24" s="776"/>
      <c r="BN24" s="776"/>
      <c r="BO24" s="776"/>
    </row>
    <row r="25" spans="1:67" s="208" customFormat="1" ht="15" customHeight="1">
      <c r="A25" s="777"/>
      <c r="B25" s="778"/>
      <c r="C25" s="386"/>
      <c r="D25" s="386"/>
      <c r="E25" s="386"/>
      <c r="F25" s="785"/>
      <c r="G25" s="793"/>
      <c r="H25" s="447"/>
      <c r="I25" s="447"/>
      <c r="J25" s="447"/>
      <c r="K25" s="785"/>
      <c r="L25" s="783"/>
      <c r="M25" s="447"/>
      <c r="N25" s="447"/>
      <c r="O25" s="447"/>
      <c r="P25" s="785"/>
      <c r="Q25" s="784"/>
      <c r="R25" s="447"/>
      <c r="S25" s="447"/>
      <c r="T25" s="447"/>
      <c r="U25" s="785"/>
      <c r="V25" s="786"/>
      <c r="W25" s="447"/>
      <c r="X25" s="447"/>
      <c r="Y25" s="447"/>
      <c r="Z25" s="785"/>
      <c r="AA25" s="787"/>
      <c r="AB25" s="447"/>
      <c r="AC25" s="447"/>
      <c r="AD25" s="447"/>
      <c r="AE25" s="785"/>
      <c r="AF25" s="794"/>
      <c r="AG25" s="447"/>
      <c r="AH25" s="447"/>
      <c r="AI25" s="447"/>
      <c r="AJ25" s="785"/>
      <c r="AK25" s="789"/>
      <c r="AL25" s="447"/>
      <c r="AM25" s="447"/>
      <c r="AN25" s="447"/>
      <c r="AO25" s="772"/>
      <c r="AP25" s="790"/>
      <c r="AQ25" s="447"/>
      <c r="AR25" s="447"/>
      <c r="AS25" s="447"/>
      <c r="AT25" s="772"/>
      <c r="AU25" s="791"/>
      <c r="AV25" s="447"/>
      <c r="AW25" s="447"/>
      <c r="AX25" s="447"/>
      <c r="AY25" s="772"/>
      <c r="AZ25" s="429"/>
      <c r="BA25" s="447"/>
      <c r="BB25" s="447"/>
      <c r="BC25" s="447"/>
      <c r="BD25" s="770"/>
      <c r="BE25" s="792"/>
      <c r="BF25" s="447"/>
      <c r="BG25" s="447"/>
      <c r="BH25" s="447"/>
      <c r="BI25" s="776"/>
      <c r="BJ25" s="776"/>
      <c r="BK25" s="776"/>
      <c r="BL25" s="776"/>
      <c r="BM25" s="776"/>
      <c r="BN25" s="776"/>
      <c r="BO25" s="776"/>
    </row>
    <row r="26" spans="1:67" s="208" customFormat="1" ht="15" customHeight="1">
      <c r="A26" s="777"/>
      <c r="B26" s="778"/>
      <c r="C26" s="386" t="s">
        <v>55</v>
      </c>
      <c r="D26" s="386">
        <f>Data!F12</f>
        <v>0</v>
      </c>
      <c r="E26" s="386">
        <f>Data!G12</f>
        <v>5.05</v>
      </c>
      <c r="F26" s="785"/>
      <c r="G26" s="793"/>
      <c r="H26" s="447" t="s">
        <v>55</v>
      </c>
      <c r="I26" s="447">
        <f>Data!F32</f>
        <v>0</v>
      </c>
      <c r="J26" s="447">
        <f>Data!G32</f>
        <v>15.316700000000001</v>
      </c>
      <c r="K26" s="785"/>
      <c r="L26" s="783"/>
      <c r="M26" s="447" t="s">
        <v>55</v>
      </c>
      <c r="N26" s="447">
        <f>Data!F52</f>
        <v>0</v>
      </c>
      <c r="O26" s="447">
        <f>Data!G52</f>
        <v>7.5333300000000003</v>
      </c>
      <c r="P26" s="785"/>
      <c r="Q26" s="784"/>
      <c r="R26" s="447" t="s">
        <v>55</v>
      </c>
      <c r="S26" s="447">
        <f>Data!F72</f>
        <v>0</v>
      </c>
      <c r="T26" s="447">
        <f>Data!G72</f>
        <v>13.91667</v>
      </c>
      <c r="U26" s="785"/>
      <c r="V26" s="786"/>
      <c r="W26" s="447" t="s">
        <v>55</v>
      </c>
      <c r="X26" s="447">
        <f>Data!F92</f>
        <v>0</v>
      </c>
      <c r="Y26" s="447">
        <f>Data!G92</f>
        <v>0</v>
      </c>
      <c r="Z26" s="785"/>
      <c r="AA26" s="787"/>
      <c r="AB26" s="447" t="s">
        <v>55</v>
      </c>
      <c r="AC26" s="447">
        <f>Data!F112</f>
        <v>0</v>
      </c>
      <c r="AD26" s="447">
        <f>Data!G112</f>
        <v>0</v>
      </c>
      <c r="AE26" s="785"/>
      <c r="AF26" s="794"/>
      <c r="AG26" s="447" t="s">
        <v>55</v>
      </c>
      <c r="AH26" s="447">
        <f>Data!F132</f>
        <v>0</v>
      </c>
      <c r="AI26" s="447">
        <f>Data!G132</f>
        <v>0</v>
      </c>
      <c r="AJ26" s="772"/>
      <c r="AK26" s="789"/>
      <c r="AL26" s="447" t="s">
        <v>55</v>
      </c>
      <c r="AM26" s="447">
        <f>Data!F152</f>
        <v>0</v>
      </c>
      <c r="AN26" s="447">
        <f>Data!G152</f>
        <v>0</v>
      </c>
      <c r="AO26" s="785"/>
      <c r="AP26" s="790"/>
      <c r="AQ26" s="447" t="s">
        <v>55</v>
      </c>
      <c r="AR26" s="447">
        <f>Data!F172</f>
        <v>0</v>
      </c>
      <c r="AS26" s="447">
        <f>Data!G172</f>
        <v>0</v>
      </c>
      <c r="AT26" s="785"/>
      <c r="AU26" s="791"/>
      <c r="AV26" s="447" t="s">
        <v>55</v>
      </c>
      <c r="AW26" s="447">
        <f>Data!F192</f>
        <v>0</v>
      </c>
      <c r="AX26" s="447">
        <f>Data!G192</f>
        <v>0</v>
      </c>
      <c r="AY26" s="785"/>
      <c r="AZ26" s="429"/>
      <c r="BA26" s="447" t="s">
        <v>55</v>
      </c>
      <c r="BB26" s="447">
        <f>Data!F212</f>
        <v>0</v>
      </c>
      <c r="BC26" s="447">
        <f>Data!G212</f>
        <v>0</v>
      </c>
      <c r="BD26" s="781"/>
      <c r="BE26" s="792"/>
      <c r="BF26" s="447" t="s">
        <v>55</v>
      </c>
      <c r="BG26" s="447">
        <f>Data!F232</f>
        <v>0</v>
      </c>
      <c r="BH26" s="447">
        <f>Data!G232</f>
        <v>0</v>
      </c>
      <c r="BI26" s="776"/>
      <c r="BJ26" s="776"/>
      <c r="BK26" s="776"/>
      <c r="BL26" s="776"/>
      <c r="BM26" s="776"/>
      <c r="BN26" s="776"/>
      <c r="BO26" s="776"/>
    </row>
    <row r="27" spans="1:67" s="208" customFormat="1" ht="15" customHeight="1">
      <c r="A27" s="777"/>
      <c r="B27" s="778"/>
      <c r="C27" s="386"/>
      <c r="D27" s="386"/>
      <c r="E27" s="386"/>
      <c r="F27" s="785"/>
      <c r="G27" s="793"/>
      <c r="H27" s="447"/>
      <c r="I27" s="447"/>
      <c r="J27" s="447"/>
      <c r="K27" s="785"/>
      <c r="L27" s="783"/>
      <c r="M27" s="447"/>
      <c r="N27" s="447"/>
      <c r="O27" s="447"/>
      <c r="P27" s="785"/>
      <c r="Q27" s="784"/>
      <c r="R27" s="447"/>
      <c r="S27" s="447"/>
      <c r="T27" s="447"/>
      <c r="U27" s="785"/>
      <c r="V27" s="786"/>
      <c r="W27" s="447"/>
      <c r="X27" s="447"/>
      <c r="Y27" s="447"/>
      <c r="Z27" s="785"/>
      <c r="AA27" s="787"/>
      <c r="AB27" s="447"/>
      <c r="AC27" s="447"/>
      <c r="AD27" s="447"/>
      <c r="AE27" s="785"/>
      <c r="AF27" s="794"/>
      <c r="AG27" s="447"/>
      <c r="AH27" s="447"/>
      <c r="AI27" s="447"/>
      <c r="AJ27" s="772"/>
      <c r="AK27" s="789"/>
      <c r="AL27" s="447"/>
      <c r="AM27" s="447"/>
      <c r="AN27" s="447"/>
      <c r="AO27" s="785"/>
      <c r="AP27" s="790"/>
      <c r="AQ27" s="447"/>
      <c r="AR27" s="447"/>
      <c r="AS27" s="447"/>
      <c r="AT27" s="785"/>
      <c r="AU27" s="791"/>
      <c r="AV27" s="447"/>
      <c r="AW27" s="447"/>
      <c r="AX27" s="447"/>
      <c r="AY27" s="785"/>
      <c r="AZ27" s="429"/>
      <c r="BA27" s="447"/>
      <c r="BB27" s="447"/>
      <c r="BC27" s="447"/>
      <c r="BD27" s="781"/>
      <c r="BE27" s="792"/>
      <c r="BF27" s="447"/>
      <c r="BG27" s="447"/>
      <c r="BH27" s="447"/>
      <c r="BI27" s="776"/>
      <c r="BJ27" s="776"/>
      <c r="BK27" s="776"/>
      <c r="BL27" s="776"/>
      <c r="BM27" s="776"/>
      <c r="BN27" s="776"/>
      <c r="BO27" s="776"/>
    </row>
    <row r="28" spans="1:67" s="208" customFormat="1" ht="15" customHeight="1">
      <c r="A28" s="780"/>
      <c r="B28" s="778"/>
      <c r="C28" s="386" t="s">
        <v>56</v>
      </c>
      <c r="D28" s="386">
        <f>Data!F13</f>
        <v>559.01660000000004</v>
      </c>
      <c r="E28" s="386">
        <f>Data!G13</f>
        <v>3.8166699999999998</v>
      </c>
      <c r="F28" s="772"/>
      <c r="G28" s="793"/>
      <c r="H28" s="447" t="s">
        <v>56</v>
      </c>
      <c r="I28" s="447">
        <f>Data!F33</f>
        <v>748.58330000000001</v>
      </c>
      <c r="J28" s="447">
        <f>Data!G33</f>
        <v>19.3</v>
      </c>
      <c r="K28" s="772"/>
      <c r="L28" s="783"/>
      <c r="M28" s="447" t="s">
        <v>56</v>
      </c>
      <c r="N28" s="447">
        <f>Data!F53</f>
        <v>545.06670000000008</v>
      </c>
      <c r="O28" s="447">
        <f>Data!G53</f>
        <v>19.75</v>
      </c>
      <c r="P28" s="772"/>
      <c r="Q28" s="784"/>
      <c r="R28" s="447" t="s">
        <v>56</v>
      </c>
      <c r="S28" s="447">
        <f>Data!F73</f>
        <v>115.2667</v>
      </c>
      <c r="T28" s="447">
        <f>Data!G73</f>
        <v>13.51667</v>
      </c>
      <c r="U28" s="772"/>
      <c r="V28" s="786"/>
      <c r="W28" s="447" t="s">
        <v>56</v>
      </c>
      <c r="X28" s="447">
        <f>Data!F93</f>
        <v>0</v>
      </c>
      <c r="Y28" s="447">
        <f>Data!G93</f>
        <v>0</v>
      </c>
      <c r="Z28" s="772"/>
      <c r="AA28" s="787"/>
      <c r="AB28" s="447" t="s">
        <v>56</v>
      </c>
      <c r="AC28" s="447">
        <f>Data!F113</f>
        <v>0</v>
      </c>
      <c r="AD28" s="447">
        <f>Data!G113</f>
        <v>0</v>
      </c>
      <c r="AE28" s="772"/>
      <c r="AF28" s="794"/>
      <c r="AG28" s="447" t="s">
        <v>56</v>
      </c>
      <c r="AH28" s="447">
        <f>Data!F133</f>
        <v>0</v>
      </c>
      <c r="AI28" s="447">
        <f>Data!G133</f>
        <v>0</v>
      </c>
      <c r="AJ28" s="781"/>
      <c r="AK28" s="789"/>
      <c r="AL28" s="447" t="s">
        <v>56</v>
      </c>
      <c r="AM28" s="447">
        <f>Data!F153</f>
        <v>0</v>
      </c>
      <c r="AN28" s="447">
        <f>Data!G153</f>
        <v>0</v>
      </c>
      <c r="AO28" s="772"/>
      <c r="AP28" s="790"/>
      <c r="AQ28" s="447" t="s">
        <v>56</v>
      </c>
      <c r="AR28" s="447">
        <f>Data!F173</f>
        <v>0</v>
      </c>
      <c r="AS28" s="447">
        <f>Data!G173</f>
        <v>0</v>
      </c>
      <c r="AT28" s="772"/>
      <c r="AU28" s="791"/>
      <c r="AV28" s="447" t="s">
        <v>56</v>
      </c>
      <c r="AW28" s="447">
        <f>Data!F193</f>
        <v>0</v>
      </c>
      <c r="AX28" s="447">
        <f>Data!G193</f>
        <v>0</v>
      </c>
      <c r="AY28" s="772"/>
      <c r="AZ28" s="429"/>
      <c r="BA28" s="447" t="s">
        <v>56</v>
      </c>
      <c r="BB28" s="447">
        <f>Data!F213</f>
        <v>0</v>
      </c>
      <c r="BC28" s="447">
        <f>Data!G213</f>
        <v>0</v>
      </c>
      <c r="BD28" s="770"/>
      <c r="BE28" s="792"/>
      <c r="BF28" s="447" t="s">
        <v>56</v>
      </c>
      <c r="BG28" s="447">
        <f>Data!F233</f>
        <v>0</v>
      </c>
      <c r="BH28" s="447">
        <f>Data!G233</f>
        <v>0</v>
      </c>
      <c r="BI28" s="776"/>
      <c r="BJ28" s="776"/>
      <c r="BK28" s="776"/>
      <c r="BL28" s="776"/>
      <c r="BM28" s="776"/>
      <c r="BN28" s="776"/>
      <c r="BO28" s="776"/>
    </row>
    <row r="29" spans="1:67" ht="12.6" customHeight="1" thickBot="1">
      <c r="A29" s="780"/>
      <c r="B29" s="778"/>
      <c r="C29" s="386"/>
      <c r="D29" s="386"/>
      <c r="E29" s="386"/>
      <c r="F29" s="772"/>
      <c r="G29" s="793"/>
      <c r="H29" s="447"/>
      <c r="I29" s="447"/>
      <c r="J29" s="447"/>
      <c r="K29" s="772"/>
      <c r="L29" s="783"/>
      <c r="M29" s="447"/>
      <c r="N29" s="447"/>
      <c r="O29" s="447"/>
      <c r="P29" s="772"/>
      <c r="Q29" s="784"/>
      <c r="R29" s="447"/>
      <c r="S29" s="447"/>
      <c r="T29" s="447"/>
      <c r="U29" s="772"/>
      <c r="V29" s="786"/>
      <c r="W29" s="447"/>
      <c r="X29" s="447"/>
      <c r="Y29" s="447"/>
      <c r="Z29" s="772"/>
      <c r="AA29" s="787"/>
      <c r="AB29" s="447"/>
      <c r="AC29" s="447"/>
      <c r="AD29" s="447"/>
      <c r="AE29" s="772"/>
      <c r="AF29" s="794"/>
      <c r="AG29" s="447"/>
      <c r="AH29" s="447"/>
      <c r="AI29" s="447"/>
      <c r="AK29" s="789"/>
      <c r="AL29" s="447"/>
      <c r="AM29" s="447"/>
      <c r="AN29" s="447"/>
      <c r="AO29" s="772"/>
      <c r="AP29" s="790"/>
      <c r="AQ29" s="447"/>
      <c r="AR29" s="447"/>
      <c r="AS29" s="447"/>
      <c r="AT29" s="772"/>
      <c r="AU29" s="791"/>
      <c r="AV29" s="447"/>
      <c r="AW29" s="447"/>
      <c r="AX29" s="447"/>
      <c r="AY29" s="772"/>
      <c r="AZ29" s="429"/>
      <c r="BA29" s="447"/>
      <c r="BB29" s="447"/>
      <c r="BC29" s="447"/>
      <c r="BD29" s="770"/>
      <c r="BE29" s="792"/>
      <c r="BF29" s="447"/>
      <c r="BG29" s="447"/>
      <c r="BH29" s="447"/>
      <c r="BI29" s="776"/>
      <c r="BJ29" s="776"/>
      <c r="BK29" s="776"/>
      <c r="BL29" s="776"/>
      <c r="BM29" s="776"/>
      <c r="BN29" s="776"/>
      <c r="BO29" s="776"/>
    </row>
    <row r="30" spans="1:67" ht="14.25" thickTop="1" thickBot="1">
      <c r="A30" s="777"/>
      <c r="B30" s="797"/>
      <c r="C30" s="387" t="s">
        <v>103</v>
      </c>
      <c r="D30" s="387">
        <f>SUM(D6:D29)</f>
        <v>4310.4980999999989</v>
      </c>
      <c r="E30" s="387">
        <f>SUM(E6:E29)</f>
        <v>64.683340000000001</v>
      </c>
      <c r="F30" s="785"/>
      <c r="G30" s="798"/>
      <c r="H30" s="272" t="s">
        <v>103</v>
      </c>
      <c r="I30" s="272">
        <f>SUM(I6:I29)</f>
        <v>3885.5492000000004</v>
      </c>
      <c r="J30" s="272">
        <f>SUM(J6:J29)</f>
        <v>89.366699999999994</v>
      </c>
      <c r="K30" s="785"/>
      <c r="L30" s="799"/>
      <c r="M30" s="272" t="s">
        <v>103</v>
      </c>
      <c r="N30" s="272">
        <f>SUM(N6:N29)</f>
        <v>1236.6665400000002</v>
      </c>
      <c r="O30" s="272">
        <f>SUM(O6:O29)</f>
        <v>203.78328999999999</v>
      </c>
      <c r="P30" s="785"/>
      <c r="Q30" s="771"/>
      <c r="R30" s="272" t="s">
        <v>103</v>
      </c>
      <c r="S30" s="272">
        <f>SUM(S6:S29)</f>
        <v>329.23346000000004</v>
      </c>
      <c r="T30" s="272">
        <f>SUM(T6:T29)</f>
        <v>97.466709999999992</v>
      </c>
      <c r="U30" s="785"/>
      <c r="V30" s="800"/>
      <c r="W30" s="272" t="s">
        <v>103</v>
      </c>
      <c r="X30" s="272">
        <f>SUM(X6:X29)</f>
        <v>0</v>
      </c>
      <c r="Y30" s="272">
        <f>SUM(Y6:Y29)</f>
        <v>0</v>
      </c>
      <c r="Z30" s="781"/>
      <c r="AA30" s="801"/>
      <c r="AB30" s="272" t="s">
        <v>103</v>
      </c>
      <c r="AC30" s="272">
        <f>SUM(AC6:AC29)</f>
        <v>0</v>
      </c>
      <c r="AD30" s="272">
        <f>SUM(AD6:AD29)</f>
        <v>0</v>
      </c>
      <c r="AE30" s="781"/>
      <c r="AF30" s="802"/>
      <c r="AG30" s="272" t="s">
        <v>103</v>
      </c>
      <c r="AH30" s="272">
        <f>SUM(AH6:AH29)</f>
        <v>0</v>
      </c>
      <c r="AI30" s="272">
        <f>SUM(AI6:AI29)</f>
        <v>0</v>
      </c>
      <c r="AK30" s="803"/>
      <c r="AL30" s="272" t="s">
        <v>103</v>
      </c>
      <c r="AM30" s="272">
        <f>SUM(AM6:AM29)</f>
        <v>0</v>
      </c>
      <c r="AN30" s="272">
        <f>SUM(AN6:AN29)</f>
        <v>0</v>
      </c>
      <c r="AO30" s="781"/>
      <c r="AP30" s="804"/>
      <c r="AQ30" s="272" t="s">
        <v>103</v>
      </c>
      <c r="AR30" s="272">
        <f>SUM(AR6:AR29)</f>
        <v>0</v>
      </c>
      <c r="AS30" s="272">
        <f>SUM(AS6:AS29)</f>
        <v>0</v>
      </c>
      <c r="AT30" s="781"/>
      <c r="AU30" s="805"/>
      <c r="AV30" s="272" t="s">
        <v>103</v>
      </c>
      <c r="AW30" s="272">
        <f>SUM(AW6:AW29)</f>
        <v>0</v>
      </c>
      <c r="AX30" s="272">
        <f>SUM(AX6:AX29)</f>
        <v>0</v>
      </c>
      <c r="AY30" s="781"/>
      <c r="AZ30" s="774"/>
      <c r="BA30" s="272" t="s">
        <v>103</v>
      </c>
      <c r="BB30" s="272">
        <f>SUM(BB6:BB29)</f>
        <v>0</v>
      </c>
      <c r="BC30" s="272">
        <f>SUM(BC6:BC29)</f>
        <v>0</v>
      </c>
      <c r="BD30" s="781"/>
      <c r="BE30" s="775"/>
      <c r="BF30" s="272" t="s">
        <v>103</v>
      </c>
      <c r="BG30" s="272">
        <f>SUM(BG6:BG29)</f>
        <v>0</v>
      </c>
      <c r="BH30" s="272">
        <f>SUM(BH6:BH29)</f>
        <v>0</v>
      </c>
      <c r="BI30" s="776"/>
      <c r="BJ30" s="776"/>
      <c r="BK30" s="776"/>
      <c r="BL30" s="776"/>
      <c r="BM30" s="776"/>
      <c r="BN30" s="776"/>
      <c r="BO30" s="776"/>
    </row>
    <row r="31" spans="1:67" s="266" customFormat="1">
      <c r="A31"/>
      <c r="B31"/>
      <c r="C31"/>
      <c r="D31"/>
      <c r="E31" s="388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266" customFormat="1" ht="13.5" thickBot="1">
      <c r="A32"/>
      <c r="B32" s="713" t="s">
        <v>104</v>
      </c>
      <c r="C32" s="713"/>
      <c r="D32" s="713"/>
      <c r="E32" s="713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  <row r="33" spans="1:67" s="198" customFormat="1" ht="13.5" customHeight="1" thickBot="1">
      <c r="A33" s="266"/>
      <c r="B33" s="569" t="str">
        <f>"FY" &amp; Data!H2  &amp; " - YTD"</f>
        <v>FY2020 - YTD</v>
      </c>
      <c r="C33" s="570"/>
      <c r="D33" s="570"/>
      <c r="E33" s="704"/>
      <c r="F33" s="266"/>
      <c r="G33" s="573" t="str">
        <f>"FY" &amp; Data!H22  &amp; " - YTD"</f>
        <v>FY2020 - YTD</v>
      </c>
      <c r="H33" s="574"/>
      <c r="I33" s="574"/>
      <c r="J33" s="575"/>
      <c r="K33" s="266"/>
      <c r="L33" s="708" t="str">
        <f>"FY" &amp; Data!H42  &amp; " - YTD"</f>
        <v>FY2020 - YTD</v>
      </c>
      <c r="M33" s="561"/>
      <c r="N33" s="561"/>
      <c r="O33" s="562"/>
      <c r="P33" s="266"/>
      <c r="Q33" s="709" t="str">
        <f>"FY" &amp; Data!H62  &amp; " - YTD"</f>
        <v>FY2020 - YTD</v>
      </c>
      <c r="R33" s="564"/>
      <c r="S33" s="564"/>
      <c r="T33" s="565"/>
      <c r="U33" s="267"/>
      <c r="V33" s="710" t="str">
        <f>"FY" &amp; Data!H82  &amp; " - YTD"</f>
        <v>FY2020 - YTD</v>
      </c>
      <c r="W33" s="543"/>
      <c r="X33" s="543"/>
      <c r="Y33" s="544"/>
      <c r="Z33" s="266"/>
      <c r="AA33" s="711" t="str">
        <f>"FY" &amp; Data!H102  &amp; " - YTD"</f>
        <v>FY2020 - YTD</v>
      </c>
      <c r="AB33" s="589"/>
      <c r="AC33" s="589"/>
      <c r="AD33" s="590"/>
      <c r="AE33" s="266"/>
      <c r="AF33" s="712" t="str">
        <f>"FY" &amp; Data!H122  &amp; " - YTD"</f>
        <v>FY2020 - YTD</v>
      </c>
      <c r="AG33" s="595"/>
      <c r="AH33" s="595"/>
      <c r="AI33" s="596"/>
      <c r="AK33" s="591" t="str">
        <f>"FY" &amp; Data!H142  &amp; " - YTD"</f>
        <v>FY2020 - YTD</v>
      </c>
      <c r="AL33" s="592"/>
      <c r="AM33" s="592"/>
      <c r="AN33" s="593"/>
      <c r="AO33" s="266"/>
      <c r="AP33" s="603" t="str">
        <f>"FY" &amp; Data!H162  &amp; " - YTD"</f>
        <v>FY2020 - YTD</v>
      </c>
      <c r="AQ33" s="604"/>
      <c r="AR33" s="604"/>
      <c r="AS33" s="605"/>
      <c r="AT33" s="266"/>
      <c r="AU33" s="705" t="str">
        <f>"FY" &amp; Data!H182  &amp; " - YTD"</f>
        <v>FY2020 - YTD</v>
      </c>
      <c r="AV33" s="539"/>
      <c r="AW33" s="539"/>
      <c r="AX33" s="540"/>
      <c r="AY33" s="266"/>
      <c r="AZ33" s="706" t="str">
        <f>"FY" &amp; Data!H202  &amp; " - YTD"</f>
        <v>FY2020 - YTD</v>
      </c>
      <c r="BA33" s="530"/>
      <c r="BB33" s="530"/>
      <c r="BC33" s="531"/>
      <c r="BD33" s="266"/>
      <c r="BE33" s="707" t="str">
        <f>"FY" &amp; Data!H222  &amp; " - YTD"</f>
        <v>FY2020 - YTD</v>
      </c>
      <c r="BF33" s="527"/>
      <c r="BG33" s="527"/>
      <c r="BH33" s="528"/>
      <c r="BI33" s="266"/>
      <c r="BJ33" s="266"/>
      <c r="BK33" s="266"/>
      <c r="BL33" s="266"/>
      <c r="BM33" s="266"/>
      <c r="BN33" s="266"/>
      <c r="BO33" s="266"/>
    </row>
    <row r="34" spans="1:67" s="198" customFormat="1" ht="12.75" customHeight="1" thickBot="1">
      <c r="A34" s="266"/>
      <c r="B34" s="569" t="str">
        <f>TEXT(Data!A2, "mmm yyyy ") &amp; " - YTD"</f>
        <v>Jul 2019  - YTD</v>
      </c>
      <c r="C34" s="570"/>
      <c r="D34" s="570"/>
      <c r="E34" s="704"/>
      <c r="F34" s="266"/>
      <c r="G34" s="573" t="str">
        <f>TEXT(Data!A22, "mmm yyyy ") &amp; " - YTD"</f>
        <v>Aug 2019  - YTD</v>
      </c>
      <c r="H34" s="574"/>
      <c r="I34" s="574"/>
      <c r="J34" s="575"/>
      <c r="K34" s="266"/>
      <c r="L34" s="708" t="str">
        <f>TEXT(Data!A42, "mmm yyyy ") &amp; " - YTD"</f>
        <v>Sep 2019  - YTD</v>
      </c>
      <c r="M34" s="561"/>
      <c r="N34" s="561"/>
      <c r="O34" s="562"/>
      <c r="P34" s="266"/>
      <c r="Q34" s="709" t="str">
        <f>TEXT(Data!A62, "mmm yyyy ") &amp; " - YTD"</f>
        <v>Oct 2019  - YTD</v>
      </c>
      <c r="R34" s="564"/>
      <c r="S34" s="564"/>
      <c r="T34" s="565"/>
      <c r="U34" s="267"/>
      <c r="V34" s="710" t="str">
        <f>TEXT(Data!A82, "mmm yyyy ") &amp; " - YTD"</f>
        <v>Nov 2019  - YTD</v>
      </c>
      <c r="W34" s="543"/>
      <c r="X34" s="543"/>
      <c r="Y34" s="544"/>
      <c r="Z34" s="266"/>
      <c r="AA34" s="711" t="str">
        <f>TEXT(Data!A102, "mmm yyyy ") &amp; " - YTD"</f>
        <v>Dec 2019  - YTD</v>
      </c>
      <c r="AB34" s="589"/>
      <c r="AC34" s="589"/>
      <c r="AD34" s="590"/>
      <c r="AE34" s="266"/>
      <c r="AF34" s="712" t="str">
        <f>TEXT(Data!A122, "mmm yyyy ") &amp; " - YTD"</f>
        <v>Jan 2020  - YTD</v>
      </c>
      <c r="AG34" s="595"/>
      <c r="AH34" s="595"/>
      <c r="AI34" s="596"/>
      <c r="AK34" s="591" t="str">
        <f>TEXT(Data!A142, "mmm yyyy ") &amp; " - YTD"</f>
        <v>Feb 2020  - YTD</v>
      </c>
      <c r="AL34" s="592"/>
      <c r="AM34" s="592"/>
      <c r="AN34" s="593"/>
      <c r="AO34" s="266"/>
      <c r="AP34" s="603" t="str">
        <f>TEXT(Data!A162, "mmm yyyy ") &amp; " - YTD"</f>
        <v>Mar 2020  - YTD</v>
      </c>
      <c r="AQ34" s="604"/>
      <c r="AR34" s="604"/>
      <c r="AS34" s="605"/>
      <c r="AT34" s="266"/>
      <c r="AU34" s="705" t="str">
        <f>TEXT(Data!A182, "mmm yyyy ") &amp; " - YTD"</f>
        <v>Apr 2020  - YTD</v>
      </c>
      <c r="AV34" s="539"/>
      <c r="AW34" s="539"/>
      <c r="AX34" s="540"/>
      <c r="AY34" s="266"/>
      <c r="AZ34" s="706" t="str">
        <f>TEXT(Data!A202, "mmm yyyy ") &amp; " - YTD"</f>
        <v>May 2020  - YTD</v>
      </c>
      <c r="BA34" s="530"/>
      <c r="BB34" s="530"/>
      <c r="BC34" s="531"/>
      <c r="BD34" s="266"/>
      <c r="BE34" s="707" t="str">
        <f>TEXT(Data!A222, "mmm yyyy ") &amp; " - YTD"</f>
        <v>Jun 2020  - YTD</v>
      </c>
      <c r="BF34" s="527"/>
      <c r="BG34" s="527"/>
      <c r="BH34" s="528"/>
      <c r="BI34" s="266"/>
      <c r="BJ34" s="266"/>
      <c r="BK34" s="266"/>
      <c r="BL34" s="266"/>
      <c r="BM34" s="266"/>
      <c r="BN34" s="266"/>
      <c r="BO34" s="266"/>
    </row>
    <row r="35" spans="1:67" s="208" customFormat="1" ht="13.5" customHeight="1">
      <c r="A35" s="198"/>
      <c r="B35" s="576"/>
      <c r="C35" s="532" t="s">
        <v>2</v>
      </c>
      <c r="D35" s="701" t="s">
        <v>100</v>
      </c>
      <c r="E35" s="701" t="s">
        <v>101</v>
      </c>
      <c r="F35" s="198"/>
      <c r="G35" s="585"/>
      <c r="H35" s="532" t="s">
        <v>2</v>
      </c>
      <c r="I35" s="701" t="s">
        <v>100</v>
      </c>
      <c r="J35" s="701" t="s">
        <v>101</v>
      </c>
      <c r="K35" s="198"/>
      <c r="L35" s="566"/>
      <c r="M35" s="532" t="s">
        <v>2</v>
      </c>
      <c r="N35" s="701" t="s">
        <v>100</v>
      </c>
      <c r="O35" s="701" t="s">
        <v>101</v>
      </c>
      <c r="P35" s="198"/>
      <c r="Q35" s="202"/>
      <c r="R35" s="532" t="s">
        <v>2</v>
      </c>
      <c r="S35" s="701" t="s">
        <v>100</v>
      </c>
      <c r="T35" s="701" t="s">
        <v>101</v>
      </c>
      <c r="U35" s="200"/>
      <c r="V35" s="554"/>
      <c r="W35" s="532" t="s">
        <v>2</v>
      </c>
      <c r="X35" s="701" t="s">
        <v>100</v>
      </c>
      <c r="Y35" s="701" t="s">
        <v>101</v>
      </c>
      <c r="Z35" s="198"/>
      <c r="AA35" s="631"/>
      <c r="AB35" s="532" t="s">
        <v>2</v>
      </c>
      <c r="AC35" s="701" t="s">
        <v>100</v>
      </c>
      <c r="AD35" s="701" t="s">
        <v>101</v>
      </c>
      <c r="AE35" s="198"/>
      <c r="AF35" s="597"/>
      <c r="AG35" s="532" t="s">
        <v>2</v>
      </c>
      <c r="AH35" s="701" t="s">
        <v>100</v>
      </c>
      <c r="AI35" s="701" t="s">
        <v>101</v>
      </c>
      <c r="AJ35" s="770"/>
      <c r="AK35" s="491"/>
      <c r="AL35" s="532" t="s">
        <v>2</v>
      </c>
      <c r="AM35" s="701" t="s">
        <v>100</v>
      </c>
      <c r="AN35" s="701" t="s">
        <v>101</v>
      </c>
      <c r="AO35" s="198"/>
      <c r="AP35" s="485"/>
      <c r="AQ35" s="532" t="s">
        <v>2</v>
      </c>
      <c r="AR35" s="701" t="s">
        <v>100</v>
      </c>
      <c r="AS35" s="701" t="s">
        <v>101</v>
      </c>
      <c r="AT35" s="198"/>
      <c r="AU35" s="488"/>
      <c r="AV35" s="532" t="s">
        <v>2</v>
      </c>
      <c r="AW35" s="701" t="s">
        <v>100</v>
      </c>
      <c r="AX35" s="701" t="s">
        <v>101</v>
      </c>
      <c r="AY35" s="198"/>
      <c r="AZ35" s="203"/>
      <c r="BA35" s="532" t="s">
        <v>2</v>
      </c>
      <c r="BB35" s="701" t="s">
        <v>100</v>
      </c>
      <c r="BC35" s="701" t="s">
        <v>101</v>
      </c>
      <c r="BD35" s="198"/>
      <c r="BE35" s="204"/>
      <c r="BF35" s="532" t="s">
        <v>2</v>
      </c>
      <c r="BG35" s="701" t="s">
        <v>100</v>
      </c>
      <c r="BH35" s="701" t="s">
        <v>101</v>
      </c>
      <c r="BI35" s="198"/>
      <c r="BJ35" s="198"/>
      <c r="BK35" s="198"/>
      <c r="BL35" s="198"/>
      <c r="BM35" s="198"/>
      <c r="BN35" s="198"/>
      <c r="BO35" s="198"/>
    </row>
    <row r="36" spans="1:67" s="208" customFormat="1" ht="15" customHeight="1">
      <c r="A36" s="198"/>
      <c r="B36" s="577"/>
      <c r="C36" s="518"/>
      <c r="D36" s="702"/>
      <c r="E36" s="702"/>
      <c r="F36" s="198"/>
      <c r="G36" s="586"/>
      <c r="H36" s="518"/>
      <c r="I36" s="702"/>
      <c r="J36" s="702"/>
      <c r="K36" s="198"/>
      <c r="L36" s="567"/>
      <c r="M36" s="518"/>
      <c r="N36" s="702"/>
      <c r="O36" s="702"/>
      <c r="P36" s="198"/>
      <c r="Q36" s="205"/>
      <c r="R36" s="518"/>
      <c r="S36" s="702"/>
      <c r="T36" s="702"/>
      <c r="U36" s="200"/>
      <c r="V36" s="555"/>
      <c r="W36" s="518"/>
      <c r="X36" s="702"/>
      <c r="Y36" s="702"/>
      <c r="Z36" s="198"/>
      <c r="AA36" s="632"/>
      <c r="AB36" s="518"/>
      <c r="AC36" s="702"/>
      <c r="AD36" s="702"/>
      <c r="AE36" s="198"/>
      <c r="AF36" s="598"/>
      <c r="AG36" s="518"/>
      <c r="AH36" s="702"/>
      <c r="AI36" s="702"/>
      <c r="AJ36" s="785"/>
      <c r="AK36" s="492"/>
      <c r="AL36" s="518"/>
      <c r="AM36" s="702"/>
      <c r="AN36" s="702"/>
      <c r="AO36" s="198"/>
      <c r="AP36" s="486"/>
      <c r="AQ36" s="518"/>
      <c r="AR36" s="702"/>
      <c r="AS36" s="702"/>
      <c r="AT36" s="198"/>
      <c r="AU36" s="489"/>
      <c r="AV36" s="518"/>
      <c r="AW36" s="702"/>
      <c r="AX36" s="702"/>
      <c r="AY36" s="198"/>
      <c r="AZ36" s="206"/>
      <c r="BA36" s="518"/>
      <c r="BB36" s="702"/>
      <c r="BC36" s="702"/>
      <c r="BD36" s="198"/>
      <c r="BE36" s="207"/>
      <c r="BF36" s="518"/>
      <c r="BG36" s="702"/>
      <c r="BH36" s="702"/>
      <c r="BI36" s="198"/>
      <c r="BJ36" s="198"/>
      <c r="BK36" s="198"/>
      <c r="BL36" s="198"/>
      <c r="BM36" s="198"/>
      <c r="BN36" s="198"/>
      <c r="BO36" s="198"/>
    </row>
    <row r="37" spans="1:67" s="208" customFormat="1" ht="14.25" customHeight="1" thickBot="1">
      <c r="A37" s="767"/>
      <c r="B37" s="578"/>
      <c r="C37" s="519"/>
      <c r="D37" s="703"/>
      <c r="E37" s="703"/>
      <c r="F37" s="768"/>
      <c r="G37" s="587"/>
      <c r="H37" s="519"/>
      <c r="I37" s="703"/>
      <c r="J37" s="703"/>
      <c r="K37" s="768"/>
      <c r="L37" s="568"/>
      <c r="M37" s="519"/>
      <c r="N37" s="703"/>
      <c r="O37" s="703"/>
      <c r="P37" s="772"/>
      <c r="Q37" s="771"/>
      <c r="R37" s="519"/>
      <c r="S37" s="703"/>
      <c r="T37" s="703"/>
      <c r="U37" s="772"/>
      <c r="V37" s="556"/>
      <c r="W37" s="519"/>
      <c r="X37" s="703"/>
      <c r="Y37" s="703"/>
      <c r="Z37" s="770"/>
      <c r="AA37" s="633"/>
      <c r="AB37" s="519"/>
      <c r="AC37" s="703"/>
      <c r="AD37" s="703"/>
      <c r="AE37" s="772"/>
      <c r="AF37" s="599"/>
      <c r="AG37" s="519"/>
      <c r="AH37" s="703"/>
      <c r="AI37" s="703"/>
      <c r="AJ37" s="785"/>
      <c r="AK37" s="493"/>
      <c r="AL37" s="519"/>
      <c r="AM37" s="703"/>
      <c r="AN37" s="703"/>
      <c r="AO37" s="772"/>
      <c r="AP37" s="487"/>
      <c r="AQ37" s="519"/>
      <c r="AR37" s="703"/>
      <c r="AS37" s="703"/>
      <c r="AT37" s="773"/>
      <c r="AU37" s="490"/>
      <c r="AV37" s="519"/>
      <c r="AW37" s="703"/>
      <c r="AX37" s="703"/>
      <c r="AY37" s="770"/>
      <c r="AZ37" s="774"/>
      <c r="BA37" s="519"/>
      <c r="BB37" s="703"/>
      <c r="BC37" s="703"/>
      <c r="BD37" s="770"/>
      <c r="BE37" s="775"/>
      <c r="BF37" s="519"/>
      <c r="BG37" s="703"/>
      <c r="BH37" s="703"/>
      <c r="BI37" s="776"/>
      <c r="BJ37" s="776"/>
      <c r="BK37" s="776"/>
      <c r="BL37" s="776"/>
      <c r="BM37" s="776"/>
      <c r="BN37" s="776"/>
      <c r="BO37" s="776"/>
    </row>
    <row r="38" spans="1:67" s="208" customFormat="1" ht="15" customHeight="1">
      <c r="A38" s="777"/>
      <c r="B38" s="778"/>
      <c r="C38" s="386" t="s">
        <v>46</v>
      </c>
      <c r="D38" s="386">
        <f>D6</f>
        <v>3197.2480999999989</v>
      </c>
      <c r="E38" s="386">
        <f>E6</f>
        <v>0</v>
      </c>
      <c r="F38" s="785"/>
      <c r="G38" s="793"/>
      <c r="H38" s="386" t="s">
        <v>46</v>
      </c>
      <c r="I38" s="386">
        <f>I6+D38</f>
        <v>5590.6474999999991</v>
      </c>
      <c r="J38" s="386">
        <f>J6+E38</f>
        <v>18.216670000000001</v>
      </c>
      <c r="K38" s="785"/>
      <c r="L38" s="783"/>
      <c r="M38" s="386" t="s">
        <v>46</v>
      </c>
      <c r="N38" s="386">
        <f>N6+I38</f>
        <v>5682.2972699999991</v>
      </c>
      <c r="O38" s="386">
        <f>O6+J38</f>
        <v>60.716700000000003</v>
      </c>
      <c r="P38" s="785"/>
      <c r="Q38" s="784"/>
      <c r="R38" s="386" t="s">
        <v>46</v>
      </c>
      <c r="S38" s="386">
        <f>S6+N38</f>
        <v>5707.8472699999993</v>
      </c>
      <c r="T38" s="386">
        <f>T6+O38</f>
        <v>83.833400000000012</v>
      </c>
      <c r="U38" s="785"/>
      <c r="V38" s="786"/>
      <c r="W38" s="386" t="s">
        <v>46</v>
      </c>
      <c r="X38" s="386">
        <f>X6+S38</f>
        <v>5707.8472699999993</v>
      </c>
      <c r="Y38" s="386">
        <f>Y6+T38</f>
        <v>83.833400000000012</v>
      </c>
      <c r="Z38" s="785"/>
      <c r="AA38" s="787"/>
      <c r="AB38" s="386" t="s">
        <v>46</v>
      </c>
      <c r="AC38" s="386">
        <f>AC6+X38</f>
        <v>5707.8472699999993</v>
      </c>
      <c r="AD38" s="386">
        <f>AD6+Y38</f>
        <v>83.833400000000012</v>
      </c>
      <c r="AE38" s="785"/>
      <c r="AF38" s="794"/>
      <c r="AG38" s="386" t="s">
        <v>46</v>
      </c>
      <c r="AH38" s="386">
        <f>AH6+AC38</f>
        <v>5707.8472699999993</v>
      </c>
      <c r="AI38" s="386">
        <f>AI6+AD38</f>
        <v>83.833400000000012</v>
      </c>
      <c r="AJ38" s="785"/>
      <c r="AK38" s="789"/>
      <c r="AL38" s="386" t="s">
        <v>46</v>
      </c>
      <c r="AM38" s="386">
        <f>AM6+AH38</f>
        <v>5707.8472699999993</v>
      </c>
      <c r="AN38" s="386">
        <f>AN6+AI38</f>
        <v>83.833400000000012</v>
      </c>
      <c r="AO38" s="785"/>
      <c r="AP38" s="790"/>
      <c r="AQ38" s="386" t="s">
        <v>46</v>
      </c>
      <c r="AR38" s="386">
        <f>AR6+AM38</f>
        <v>5707.8472699999993</v>
      </c>
      <c r="AS38" s="386">
        <f>AS6+AN38</f>
        <v>83.833400000000012</v>
      </c>
      <c r="AT38" s="785"/>
      <c r="AU38" s="791"/>
      <c r="AV38" s="386" t="s">
        <v>46</v>
      </c>
      <c r="AW38" s="386">
        <f>AW6+AR38</f>
        <v>5707.8472699999993</v>
      </c>
      <c r="AX38" s="386">
        <f>AX6+AS38</f>
        <v>83.833400000000012</v>
      </c>
      <c r="AY38" s="785"/>
      <c r="AZ38" s="429"/>
      <c r="BA38" s="386" t="s">
        <v>46</v>
      </c>
      <c r="BB38" s="386">
        <f>BB6+AW38</f>
        <v>5707.8472699999993</v>
      </c>
      <c r="BC38" s="386">
        <f>BC6+AX38</f>
        <v>83.833400000000012</v>
      </c>
      <c r="BD38" s="781"/>
      <c r="BE38" s="792"/>
      <c r="BF38" s="386" t="s">
        <v>46</v>
      </c>
      <c r="BG38" s="386">
        <f>BG6+BB38</f>
        <v>5707.8472699999993</v>
      </c>
      <c r="BH38" s="386">
        <f>BH6+BC38</f>
        <v>83.833400000000012</v>
      </c>
      <c r="BI38" s="776"/>
      <c r="BJ38" s="776"/>
      <c r="BK38" s="776"/>
      <c r="BL38" s="776"/>
      <c r="BM38" s="776"/>
      <c r="BN38" s="776"/>
      <c r="BO38" s="776"/>
    </row>
    <row r="39" spans="1:67" s="208" customFormat="1" ht="15" customHeight="1">
      <c r="A39" s="777"/>
      <c r="B39" s="778"/>
      <c r="C39" s="386"/>
      <c r="D39" s="386"/>
      <c r="E39" s="386"/>
      <c r="F39" s="785"/>
      <c r="G39" s="793"/>
      <c r="H39" s="386"/>
      <c r="I39" s="386"/>
      <c r="J39" s="386"/>
      <c r="K39" s="785"/>
      <c r="L39" s="783"/>
      <c r="M39" s="386"/>
      <c r="N39" s="386"/>
      <c r="O39" s="386"/>
      <c r="P39" s="785"/>
      <c r="Q39" s="784"/>
      <c r="R39" s="386"/>
      <c r="S39" s="386"/>
      <c r="T39" s="386"/>
      <c r="U39" s="785"/>
      <c r="V39" s="786"/>
      <c r="W39" s="386"/>
      <c r="X39" s="386"/>
      <c r="Y39" s="386"/>
      <c r="Z39" s="785"/>
      <c r="AA39" s="787"/>
      <c r="AB39" s="386"/>
      <c r="AC39" s="386"/>
      <c r="AD39" s="386"/>
      <c r="AE39" s="785"/>
      <c r="AF39" s="794"/>
      <c r="AG39" s="386"/>
      <c r="AH39" s="386"/>
      <c r="AI39" s="386"/>
      <c r="AJ39" s="785"/>
      <c r="AK39" s="789"/>
      <c r="AL39" s="386"/>
      <c r="AM39" s="386"/>
      <c r="AN39" s="386"/>
      <c r="AO39" s="785"/>
      <c r="AP39" s="790"/>
      <c r="AQ39" s="386"/>
      <c r="AR39" s="386"/>
      <c r="AS39" s="386"/>
      <c r="AT39" s="785"/>
      <c r="AU39" s="791"/>
      <c r="AV39" s="386"/>
      <c r="AW39" s="386"/>
      <c r="AX39" s="386"/>
      <c r="AY39" s="785"/>
      <c r="AZ39" s="429"/>
      <c r="BA39" s="386"/>
      <c r="BB39" s="386"/>
      <c r="BC39" s="386"/>
      <c r="BD39" s="781"/>
      <c r="BE39" s="792"/>
      <c r="BF39" s="386"/>
      <c r="BG39" s="386"/>
      <c r="BH39" s="386"/>
      <c r="BI39" s="776"/>
      <c r="BJ39" s="776"/>
      <c r="BK39" s="776"/>
      <c r="BL39" s="776"/>
      <c r="BM39" s="776"/>
      <c r="BN39" s="776"/>
      <c r="BO39" s="776"/>
    </row>
    <row r="40" spans="1:67" s="208" customFormat="1" ht="15" customHeight="1">
      <c r="A40" s="777"/>
      <c r="B40" s="778"/>
      <c r="C40" s="386" t="s">
        <v>47</v>
      </c>
      <c r="D40" s="386">
        <f>D8</f>
        <v>0</v>
      </c>
      <c r="E40" s="386">
        <f>E8</f>
        <v>0</v>
      </c>
      <c r="F40" s="785"/>
      <c r="G40" s="793"/>
      <c r="H40" s="386" t="s">
        <v>47</v>
      </c>
      <c r="I40" s="386">
        <f>I8+D40</f>
        <v>0</v>
      </c>
      <c r="J40" s="386">
        <f>J8+E40</f>
        <v>0</v>
      </c>
      <c r="K40" s="785"/>
      <c r="L40" s="783"/>
      <c r="M40" s="386" t="s">
        <v>47</v>
      </c>
      <c r="N40" s="386">
        <f>N8+I40</f>
        <v>0</v>
      </c>
      <c r="O40" s="386">
        <f>O8+J40</f>
        <v>9.2833299999999994</v>
      </c>
      <c r="P40" s="785"/>
      <c r="Q40" s="784"/>
      <c r="R40" s="386" t="s">
        <v>47</v>
      </c>
      <c r="S40" s="386">
        <f>S8+N40</f>
        <v>20.5</v>
      </c>
      <c r="T40" s="386">
        <f>T8+O40</f>
        <v>9.2833299999999994</v>
      </c>
      <c r="U40" s="785"/>
      <c r="V40" s="786"/>
      <c r="W40" s="386" t="s">
        <v>47</v>
      </c>
      <c r="X40" s="386">
        <f>X8+S40</f>
        <v>20.5</v>
      </c>
      <c r="Y40" s="386">
        <f>Y8+T40</f>
        <v>9.2833299999999994</v>
      </c>
      <c r="Z40" s="785"/>
      <c r="AA40" s="787"/>
      <c r="AB40" s="386" t="s">
        <v>47</v>
      </c>
      <c r="AC40" s="386">
        <f>AC8+X40</f>
        <v>20.5</v>
      </c>
      <c r="AD40" s="386">
        <f>AD8+Y40</f>
        <v>9.2833299999999994</v>
      </c>
      <c r="AE40" s="785"/>
      <c r="AF40" s="794"/>
      <c r="AG40" s="386" t="s">
        <v>47</v>
      </c>
      <c r="AH40" s="386">
        <f>AH8+AC40</f>
        <v>20.5</v>
      </c>
      <c r="AI40" s="386">
        <f>AI8+AD40</f>
        <v>9.2833299999999994</v>
      </c>
      <c r="AJ40" s="785"/>
      <c r="AK40" s="789"/>
      <c r="AL40" s="386" t="s">
        <v>47</v>
      </c>
      <c r="AM40" s="386">
        <f>AM8+AH40</f>
        <v>20.5</v>
      </c>
      <c r="AN40" s="386">
        <f>AN8+AI40</f>
        <v>9.2833299999999994</v>
      </c>
      <c r="AO40" s="785"/>
      <c r="AP40" s="790"/>
      <c r="AQ40" s="386" t="s">
        <v>47</v>
      </c>
      <c r="AR40" s="386">
        <f>AR8+AM40</f>
        <v>20.5</v>
      </c>
      <c r="AS40" s="386">
        <f>AS8+AN40</f>
        <v>9.2833299999999994</v>
      </c>
      <c r="AT40" s="785"/>
      <c r="AU40" s="791"/>
      <c r="AV40" s="386" t="s">
        <v>47</v>
      </c>
      <c r="AW40" s="386">
        <f>AW8+AR40</f>
        <v>20.5</v>
      </c>
      <c r="AX40" s="386">
        <f>AX8+AS40</f>
        <v>9.2833299999999994</v>
      </c>
      <c r="AY40" s="785"/>
      <c r="AZ40" s="429"/>
      <c r="BA40" s="386" t="s">
        <v>47</v>
      </c>
      <c r="BB40" s="386">
        <f>BB8+AW40</f>
        <v>20.5</v>
      </c>
      <c r="BC40" s="386">
        <f>BC8+AX40</f>
        <v>9.2833299999999994</v>
      </c>
      <c r="BD40" s="781"/>
      <c r="BE40" s="792"/>
      <c r="BF40" s="386" t="s">
        <v>47</v>
      </c>
      <c r="BG40" s="386">
        <f>BG8+BB40</f>
        <v>20.5</v>
      </c>
      <c r="BH40" s="386">
        <f>BH8+BC40</f>
        <v>9.2833299999999994</v>
      </c>
      <c r="BI40" s="776"/>
      <c r="BJ40" s="776"/>
      <c r="BK40" s="776"/>
      <c r="BL40" s="776"/>
      <c r="BM40" s="776"/>
      <c r="BN40" s="776"/>
      <c r="BO40" s="776"/>
    </row>
    <row r="41" spans="1:67" s="208" customFormat="1" ht="15" customHeight="1">
      <c r="A41" s="777"/>
      <c r="B41" s="778"/>
      <c r="C41" s="386"/>
      <c r="D41" s="386"/>
      <c r="E41" s="386"/>
      <c r="F41" s="785"/>
      <c r="G41" s="793"/>
      <c r="H41" s="386"/>
      <c r="I41" s="386"/>
      <c r="J41" s="386"/>
      <c r="K41" s="785"/>
      <c r="L41" s="783"/>
      <c r="M41" s="386"/>
      <c r="N41" s="386"/>
      <c r="O41" s="386"/>
      <c r="P41" s="785"/>
      <c r="Q41" s="784"/>
      <c r="R41" s="386"/>
      <c r="S41" s="386"/>
      <c r="T41" s="386"/>
      <c r="U41" s="785"/>
      <c r="V41" s="786"/>
      <c r="W41" s="386"/>
      <c r="X41" s="386"/>
      <c r="Y41" s="386"/>
      <c r="Z41" s="785"/>
      <c r="AA41" s="787"/>
      <c r="AB41" s="386"/>
      <c r="AC41" s="386"/>
      <c r="AD41" s="386"/>
      <c r="AE41" s="785"/>
      <c r="AF41" s="794"/>
      <c r="AG41" s="386"/>
      <c r="AH41" s="386"/>
      <c r="AI41" s="386"/>
      <c r="AJ41" s="785"/>
      <c r="AK41" s="789"/>
      <c r="AL41" s="386"/>
      <c r="AM41" s="386"/>
      <c r="AN41" s="386"/>
      <c r="AO41" s="785"/>
      <c r="AP41" s="790"/>
      <c r="AQ41" s="386"/>
      <c r="AR41" s="386"/>
      <c r="AS41" s="386"/>
      <c r="AT41" s="785"/>
      <c r="AU41" s="791"/>
      <c r="AV41" s="386"/>
      <c r="AW41" s="386"/>
      <c r="AX41" s="386"/>
      <c r="AY41" s="785"/>
      <c r="AZ41" s="429"/>
      <c r="BA41" s="386"/>
      <c r="BB41" s="386"/>
      <c r="BC41" s="386"/>
      <c r="BD41" s="781"/>
      <c r="BE41" s="792"/>
      <c r="BF41" s="386"/>
      <c r="BG41" s="386"/>
      <c r="BH41" s="386"/>
      <c r="BI41" s="776"/>
      <c r="BJ41" s="776"/>
      <c r="BK41" s="776"/>
      <c r="BL41" s="776"/>
      <c r="BM41" s="776"/>
      <c r="BN41" s="776"/>
      <c r="BO41" s="776"/>
    </row>
    <row r="42" spans="1:67" s="208" customFormat="1" ht="15" customHeight="1">
      <c r="A42" s="777"/>
      <c r="B42" s="778"/>
      <c r="C42" s="386" t="s">
        <v>48</v>
      </c>
      <c r="D42" s="386">
        <f>D10</f>
        <v>21.25</v>
      </c>
      <c r="E42" s="386">
        <f>E10</f>
        <v>0</v>
      </c>
      <c r="F42" s="785"/>
      <c r="G42" s="793"/>
      <c r="H42" s="386" t="s">
        <v>48</v>
      </c>
      <c r="I42" s="386">
        <f>I10+D42</f>
        <v>21.25</v>
      </c>
      <c r="J42" s="386">
        <f>J10+E42</f>
        <v>0</v>
      </c>
      <c r="K42" s="785"/>
      <c r="L42" s="783"/>
      <c r="M42" s="386" t="s">
        <v>48</v>
      </c>
      <c r="N42" s="386">
        <f>N10+I42</f>
        <v>51.25</v>
      </c>
      <c r="O42" s="386">
        <f>O10+J42</f>
        <v>0</v>
      </c>
      <c r="P42" s="785"/>
      <c r="Q42" s="784"/>
      <c r="R42" s="386" t="s">
        <v>48</v>
      </c>
      <c r="S42" s="386">
        <f>S10+N42</f>
        <v>71.916699999999992</v>
      </c>
      <c r="T42" s="386">
        <f>T10+O42</f>
        <v>0</v>
      </c>
      <c r="U42" s="785"/>
      <c r="V42" s="786"/>
      <c r="W42" s="386" t="s">
        <v>48</v>
      </c>
      <c r="X42" s="386">
        <f>X10+S42</f>
        <v>71.916699999999992</v>
      </c>
      <c r="Y42" s="386">
        <f>Y10+T42</f>
        <v>0</v>
      </c>
      <c r="Z42" s="785"/>
      <c r="AA42" s="787"/>
      <c r="AB42" s="386" t="s">
        <v>48</v>
      </c>
      <c r="AC42" s="386">
        <f>AC10+X42</f>
        <v>71.916699999999992</v>
      </c>
      <c r="AD42" s="386">
        <f>AD10+Y42</f>
        <v>0</v>
      </c>
      <c r="AE42" s="785"/>
      <c r="AF42" s="794"/>
      <c r="AG42" s="386" t="s">
        <v>48</v>
      </c>
      <c r="AH42" s="386">
        <f>AH10+AC42</f>
        <v>71.916699999999992</v>
      </c>
      <c r="AI42" s="386">
        <f>AI10+AD42</f>
        <v>0</v>
      </c>
      <c r="AJ42" s="772"/>
      <c r="AK42" s="789"/>
      <c r="AL42" s="386" t="s">
        <v>48</v>
      </c>
      <c r="AM42" s="386">
        <f>AM10+AH42</f>
        <v>71.916699999999992</v>
      </c>
      <c r="AN42" s="386">
        <f>AN10+AI42</f>
        <v>0</v>
      </c>
      <c r="AO42" s="785"/>
      <c r="AP42" s="790"/>
      <c r="AQ42" s="386" t="s">
        <v>48</v>
      </c>
      <c r="AR42" s="386">
        <f>AR10+AM42</f>
        <v>71.916699999999992</v>
      </c>
      <c r="AS42" s="386">
        <f>AS10+AN42</f>
        <v>0</v>
      </c>
      <c r="AT42" s="785"/>
      <c r="AU42" s="791"/>
      <c r="AV42" s="386" t="s">
        <v>48</v>
      </c>
      <c r="AW42" s="386">
        <f>AW10+AR42</f>
        <v>71.916699999999992</v>
      </c>
      <c r="AX42" s="386">
        <f>AX10+AS42</f>
        <v>0</v>
      </c>
      <c r="AY42" s="785"/>
      <c r="AZ42" s="429"/>
      <c r="BA42" s="386" t="s">
        <v>48</v>
      </c>
      <c r="BB42" s="386">
        <f>BB10+AW42</f>
        <v>71.916699999999992</v>
      </c>
      <c r="BC42" s="386">
        <f>BC10+AX42</f>
        <v>0</v>
      </c>
      <c r="BD42" s="781"/>
      <c r="BE42" s="792"/>
      <c r="BF42" s="386" t="s">
        <v>48</v>
      </c>
      <c r="BG42" s="386">
        <f>BG10+BB42</f>
        <v>71.916699999999992</v>
      </c>
      <c r="BH42" s="386">
        <f>BH10+BC42</f>
        <v>0</v>
      </c>
      <c r="BI42" s="776"/>
      <c r="BJ42" s="776"/>
      <c r="BK42" s="776"/>
      <c r="BL42" s="776"/>
      <c r="BM42" s="776"/>
      <c r="BN42" s="776"/>
      <c r="BO42" s="776"/>
    </row>
    <row r="43" spans="1:67" s="208" customFormat="1" ht="15" customHeight="1">
      <c r="A43" s="777"/>
      <c r="B43" s="778"/>
      <c r="C43" s="386"/>
      <c r="D43" s="386"/>
      <c r="E43" s="386"/>
      <c r="F43" s="785"/>
      <c r="G43" s="793"/>
      <c r="H43" s="386"/>
      <c r="I43" s="386"/>
      <c r="J43" s="386"/>
      <c r="K43" s="785"/>
      <c r="L43" s="783"/>
      <c r="M43" s="386"/>
      <c r="N43" s="386"/>
      <c r="O43" s="386"/>
      <c r="P43" s="785"/>
      <c r="Q43" s="784"/>
      <c r="R43" s="386"/>
      <c r="S43" s="386"/>
      <c r="T43" s="386"/>
      <c r="U43" s="785"/>
      <c r="V43" s="786"/>
      <c r="W43" s="386"/>
      <c r="X43" s="386"/>
      <c r="Y43" s="386"/>
      <c r="Z43" s="785"/>
      <c r="AA43" s="787"/>
      <c r="AB43" s="386"/>
      <c r="AC43" s="386"/>
      <c r="AD43" s="386"/>
      <c r="AE43" s="785"/>
      <c r="AF43" s="794"/>
      <c r="AG43" s="386"/>
      <c r="AH43" s="386"/>
      <c r="AI43" s="386"/>
      <c r="AJ43" s="772"/>
      <c r="AK43" s="789"/>
      <c r="AL43" s="386"/>
      <c r="AM43" s="386"/>
      <c r="AN43" s="386"/>
      <c r="AO43" s="785"/>
      <c r="AP43" s="790"/>
      <c r="AQ43" s="386"/>
      <c r="AR43" s="386"/>
      <c r="AS43" s="386"/>
      <c r="AT43" s="785"/>
      <c r="AU43" s="791"/>
      <c r="AV43" s="386"/>
      <c r="AW43" s="386"/>
      <c r="AX43" s="386"/>
      <c r="AY43" s="785"/>
      <c r="AZ43" s="429"/>
      <c r="BA43" s="386"/>
      <c r="BB43" s="386"/>
      <c r="BC43" s="386"/>
      <c r="BD43" s="781"/>
      <c r="BE43" s="792"/>
      <c r="BF43" s="386"/>
      <c r="BG43" s="386"/>
      <c r="BH43" s="386"/>
      <c r="BI43" s="776"/>
      <c r="BJ43" s="776"/>
      <c r="BK43" s="776"/>
      <c r="BL43" s="776"/>
      <c r="BM43" s="776"/>
      <c r="BN43" s="776"/>
      <c r="BO43" s="776"/>
    </row>
    <row r="44" spans="1:67" s="208" customFormat="1" ht="15" customHeight="1">
      <c r="A44" s="780"/>
      <c r="B44" s="778"/>
      <c r="C44" s="386" t="s">
        <v>49</v>
      </c>
      <c r="D44" s="386">
        <f>D12</f>
        <v>532.98340000000007</v>
      </c>
      <c r="E44" s="386">
        <f>E12</f>
        <v>0</v>
      </c>
      <c r="F44" s="772"/>
      <c r="G44" s="793"/>
      <c r="H44" s="386" t="s">
        <v>49</v>
      </c>
      <c r="I44" s="386">
        <f>I12+D44</f>
        <v>1262.2166000000002</v>
      </c>
      <c r="J44" s="386">
        <f>J12+E44</f>
        <v>0</v>
      </c>
      <c r="K44" s="772"/>
      <c r="L44" s="783"/>
      <c r="M44" s="386" t="s">
        <v>49</v>
      </c>
      <c r="N44" s="386">
        <f>N12+I44</f>
        <v>1776.3167000000003</v>
      </c>
      <c r="O44" s="386">
        <f>O12+J44</f>
        <v>4.2</v>
      </c>
      <c r="P44" s="772"/>
      <c r="Q44" s="784"/>
      <c r="R44" s="386" t="s">
        <v>49</v>
      </c>
      <c r="S44" s="386">
        <f>S12+N44</f>
        <v>1899.5001000000002</v>
      </c>
      <c r="T44" s="386">
        <f>T12+O44</f>
        <v>4.2</v>
      </c>
      <c r="U44" s="772"/>
      <c r="V44" s="786"/>
      <c r="W44" s="386" t="s">
        <v>49</v>
      </c>
      <c r="X44" s="386">
        <f>X12+S44</f>
        <v>1899.5001000000002</v>
      </c>
      <c r="Y44" s="386">
        <f>Y12+T44</f>
        <v>4.2</v>
      </c>
      <c r="Z44" s="772"/>
      <c r="AA44" s="787"/>
      <c r="AB44" s="386" t="s">
        <v>49</v>
      </c>
      <c r="AC44" s="386">
        <f>AC12+X44</f>
        <v>1899.5001000000002</v>
      </c>
      <c r="AD44" s="386">
        <f>AD12+Y44</f>
        <v>4.2</v>
      </c>
      <c r="AE44" s="772"/>
      <c r="AF44" s="794"/>
      <c r="AG44" s="386" t="s">
        <v>49</v>
      </c>
      <c r="AH44" s="386">
        <f t="shared" ref="AH44:AI44" si="0">AH12+AC44</f>
        <v>1899.5001000000002</v>
      </c>
      <c r="AI44" s="386">
        <f t="shared" si="0"/>
        <v>4.2</v>
      </c>
      <c r="AJ44" s="772"/>
      <c r="AK44" s="789"/>
      <c r="AL44" s="386" t="s">
        <v>49</v>
      </c>
      <c r="AM44" s="386">
        <f t="shared" ref="AM44:AN44" si="1">AM12+AH44</f>
        <v>1899.5001000000002</v>
      </c>
      <c r="AN44" s="386">
        <f t="shared" si="1"/>
        <v>4.2</v>
      </c>
      <c r="AO44" s="772"/>
      <c r="AP44" s="790"/>
      <c r="AQ44" s="386" t="s">
        <v>49</v>
      </c>
      <c r="AR44" s="386">
        <f t="shared" ref="AR44:AS44" si="2">AR12+AM44</f>
        <v>1899.5001000000002</v>
      </c>
      <c r="AS44" s="386">
        <f t="shared" si="2"/>
        <v>4.2</v>
      </c>
      <c r="AT44" s="772"/>
      <c r="AU44" s="791"/>
      <c r="AV44" s="386" t="s">
        <v>49</v>
      </c>
      <c r="AW44" s="386">
        <f t="shared" ref="AW44:AX44" si="3">AW12+AR44</f>
        <v>1899.5001000000002</v>
      </c>
      <c r="AX44" s="386">
        <f t="shared" si="3"/>
        <v>4.2</v>
      </c>
      <c r="AY44" s="772"/>
      <c r="AZ44" s="429"/>
      <c r="BA44" s="386" t="s">
        <v>49</v>
      </c>
      <c r="BB44" s="386">
        <f t="shared" ref="BB44:BC44" si="4">BB12+AW44</f>
        <v>1899.5001000000002</v>
      </c>
      <c r="BC44" s="386">
        <f t="shared" si="4"/>
        <v>4.2</v>
      </c>
      <c r="BD44" s="770"/>
      <c r="BE44" s="792"/>
      <c r="BF44" s="386" t="s">
        <v>49</v>
      </c>
      <c r="BG44" s="386">
        <f t="shared" ref="BG44:BH44" si="5">BG12+BB44</f>
        <v>1899.5001000000002</v>
      </c>
      <c r="BH44" s="386">
        <f t="shared" si="5"/>
        <v>4.2</v>
      </c>
      <c r="BI44" s="776"/>
      <c r="BJ44" s="776"/>
      <c r="BK44" s="776"/>
      <c r="BL44" s="776"/>
      <c r="BM44" s="776"/>
      <c r="BN44" s="776"/>
      <c r="BO44" s="776"/>
    </row>
    <row r="45" spans="1:67" s="208" customFormat="1" ht="15" customHeight="1">
      <c r="A45" s="780"/>
      <c r="B45" s="778"/>
      <c r="C45" s="386"/>
      <c r="D45" s="386"/>
      <c r="E45" s="386"/>
      <c r="F45" s="772"/>
      <c r="G45" s="793"/>
      <c r="H45" s="386"/>
      <c r="I45" s="386"/>
      <c r="J45" s="386"/>
      <c r="K45" s="772"/>
      <c r="L45" s="783"/>
      <c r="M45" s="386"/>
      <c r="N45" s="386"/>
      <c r="O45" s="386"/>
      <c r="P45" s="772"/>
      <c r="Q45" s="784"/>
      <c r="R45" s="386"/>
      <c r="S45" s="386"/>
      <c r="T45" s="386"/>
      <c r="U45" s="772"/>
      <c r="V45" s="786"/>
      <c r="W45" s="386"/>
      <c r="X45" s="386"/>
      <c r="Y45" s="386"/>
      <c r="Z45" s="772"/>
      <c r="AA45" s="787"/>
      <c r="AB45" s="386"/>
      <c r="AC45" s="386"/>
      <c r="AD45" s="386"/>
      <c r="AE45" s="772"/>
      <c r="AF45" s="794"/>
      <c r="AG45" s="386"/>
      <c r="AH45" s="386"/>
      <c r="AI45" s="386"/>
      <c r="AJ45" s="772"/>
      <c r="AK45" s="789"/>
      <c r="AL45" s="386"/>
      <c r="AM45" s="386"/>
      <c r="AN45" s="386"/>
      <c r="AO45" s="772"/>
      <c r="AP45" s="790"/>
      <c r="AQ45" s="386"/>
      <c r="AR45" s="386"/>
      <c r="AS45" s="386"/>
      <c r="AT45" s="772"/>
      <c r="AU45" s="791"/>
      <c r="AV45" s="386"/>
      <c r="AW45" s="386"/>
      <c r="AX45" s="386"/>
      <c r="AY45" s="772"/>
      <c r="AZ45" s="429"/>
      <c r="BA45" s="386"/>
      <c r="BB45" s="386"/>
      <c r="BC45" s="386"/>
      <c r="BD45" s="770"/>
      <c r="BE45" s="792"/>
      <c r="BF45" s="386"/>
      <c r="BG45" s="386"/>
      <c r="BH45" s="386"/>
      <c r="BI45" s="776"/>
      <c r="BJ45" s="776"/>
      <c r="BK45" s="776"/>
      <c r="BL45" s="776"/>
      <c r="BM45" s="776"/>
      <c r="BN45" s="776"/>
      <c r="BO45" s="776"/>
    </row>
    <row r="46" spans="1:67" s="208" customFormat="1" ht="15" customHeight="1">
      <c r="A46" s="780"/>
      <c r="B46" s="778"/>
      <c r="C46" s="386" t="s">
        <v>102</v>
      </c>
      <c r="D46" s="386">
        <f>D14</f>
        <v>0</v>
      </c>
      <c r="E46" s="386">
        <f>E14</f>
        <v>0</v>
      </c>
      <c r="F46" s="772"/>
      <c r="G46" s="793"/>
      <c r="H46" s="386" t="s">
        <v>102</v>
      </c>
      <c r="I46" s="386">
        <f>I14+D46</f>
        <v>0</v>
      </c>
      <c r="J46" s="386">
        <f>J14+E46</f>
        <v>0</v>
      </c>
      <c r="K46" s="772"/>
      <c r="L46" s="783"/>
      <c r="M46" s="386" t="s">
        <v>102</v>
      </c>
      <c r="N46" s="386">
        <f>N14+I46</f>
        <v>0</v>
      </c>
      <c r="O46" s="386">
        <f>O14+J46</f>
        <v>0</v>
      </c>
      <c r="P46" s="772"/>
      <c r="Q46" s="784"/>
      <c r="R46" s="386" t="s">
        <v>102</v>
      </c>
      <c r="S46" s="386">
        <f>S14+N46</f>
        <v>0</v>
      </c>
      <c r="T46" s="386">
        <f>T14+O46</f>
        <v>0</v>
      </c>
      <c r="U46" s="772"/>
      <c r="V46" s="786"/>
      <c r="W46" s="386" t="s">
        <v>102</v>
      </c>
      <c r="X46" s="386">
        <f>X14+S46</f>
        <v>0</v>
      </c>
      <c r="Y46" s="386">
        <f>Y14+T46</f>
        <v>0</v>
      </c>
      <c r="Z46" s="772"/>
      <c r="AA46" s="787"/>
      <c r="AB46" s="386" t="s">
        <v>102</v>
      </c>
      <c r="AC46" s="386">
        <f>AC14+X46</f>
        <v>0</v>
      </c>
      <c r="AD46" s="386">
        <f>AD14+Y46</f>
        <v>0</v>
      </c>
      <c r="AE46" s="772"/>
      <c r="AF46" s="794"/>
      <c r="AG46" s="386" t="s">
        <v>102</v>
      </c>
      <c r="AH46" s="386">
        <f t="shared" ref="AH46:AI46" si="6">AH14+AC46</f>
        <v>0</v>
      </c>
      <c r="AI46" s="386">
        <f t="shared" si="6"/>
        <v>0</v>
      </c>
      <c r="AJ46" s="772"/>
      <c r="AK46" s="789"/>
      <c r="AL46" s="386" t="s">
        <v>102</v>
      </c>
      <c r="AM46" s="386">
        <f t="shared" ref="AM46:AN46" si="7">AM14+AH46</f>
        <v>0</v>
      </c>
      <c r="AN46" s="386">
        <f t="shared" si="7"/>
        <v>0</v>
      </c>
      <c r="AO46" s="772"/>
      <c r="AP46" s="790"/>
      <c r="AQ46" s="386" t="s">
        <v>102</v>
      </c>
      <c r="AR46" s="386">
        <f t="shared" ref="AR46:AS46" si="8">AR14+AM46</f>
        <v>0</v>
      </c>
      <c r="AS46" s="386">
        <f t="shared" si="8"/>
        <v>0</v>
      </c>
      <c r="AT46" s="772"/>
      <c r="AU46" s="791"/>
      <c r="AV46" s="386" t="s">
        <v>102</v>
      </c>
      <c r="AW46" s="386">
        <f t="shared" ref="AW46:AX46" si="9">AW14+AR46</f>
        <v>0</v>
      </c>
      <c r="AX46" s="386">
        <f t="shared" si="9"/>
        <v>0</v>
      </c>
      <c r="AY46" s="772"/>
      <c r="AZ46" s="429"/>
      <c r="BA46" s="386" t="s">
        <v>102</v>
      </c>
      <c r="BB46" s="386">
        <f t="shared" ref="BB46:BC46" si="10">BB14+AW46</f>
        <v>0</v>
      </c>
      <c r="BC46" s="386">
        <f t="shared" si="10"/>
        <v>0</v>
      </c>
      <c r="BD46" s="770"/>
      <c r="BE46" s="792"/>
      <c r="BF46" s="386" t="s">
        <v>102</v>
      </c>
      <c r="BG46" s="386">
        <f t="shared" ref="BG46:BH46" si="11">BG14+BB46</f>
        <v>0</v>
      </c>
      <c r="BH46" s="386">
        <f t="shared" si="11"/>
        <v>0</v>
      </c>
      <c r="BI46" s="776"/>
      <c r="BJ46" s="776"/>
      <c r="BK46" s="776"/>
      <c r="BL46" s="776"/>
      <c r="BM46" s="776"/>
      <c r="BN46" s="776"/>
      <c r="BO46" s="776"/>
    </row>
    <row r="47" spans="1:67" s="208" customFormat="1" ht="15" customHeight="1">
      <c r="A47" s="780"/>
      <c r="B47" s="778"/>
      <c r="C47" s="386"/>
      <c r="D47" s="386"/>
      <c r="E47" s="386"/>
      <c r="F47" s="772"/>
      <c r="G47" s="793"/>
      <c r="H47" s="386"/>
      <c r="I47" s="386"/>
      <c r="J47" s="386"/>
      <c r="K47" s="772"/>
      <c r="L47" s="783"/>
      <c r="M47" s="386"/>
      <c r="N47" s="386"/>
      <c r="O47" s="386"/>
      <c r="P47" s="772"/>
      <c r="Q47" s="784"/>
      <c r="R47" s="386"/>
      <c r="S47" s="386"/>
      <c r="T47" s="386"/>
      <c r="U47" s="772"/>
      <c r="V47" s="786"/>
      <c r="W47" s="386"/>
      <c r="X47" s="386"/>
      <c r="Y47" s="386"/>
      <c r="Z47" s="772"/>
      <c r="AA47" s="787"/>
      <c r="AB47" s="386"/>
      <c r="AC47" s="386"/>
      <c r="AD47" s="386"/>
      <c r="AE47" s="772"/>
      <c r="AF47" s="794"/>
      <c r="AG47" s="386"/>
      <c r="AH47" s="386"/>
      <c r="AI47" s="386"/>
      <c r="AJ47" s="772"/>
      <c r="AK47" s="789"/>
      <c r="AL47" s="386"/>
      <c r="AM47" s="386"/>
      <c r="AN47" s="386"/>
      <c r="AO47" s="772"/>
      <c r="AP47" s="790"/>
      <c r="AQ47" s="386"/>
      <c r="AR47" s="386"/>
      <c r="AS47" s="386"/>
      <c r="AT47" s="772"/>
      <c r="AU47" s="791"/>
      <c r="AV47" s="386"/>
      <c r="AW47" s="386"/>
      <c r="AX47" s="386"/>
      <c r="AY47" s="772"/>
      <c r="AZ47" s="429"/>
      <c r="BA47" s="386"/>
      <c r="BB47" s="386"/>
      <c r="BC47" s="386"/>
      <c r="BD47" s="770"/>
      <c r="BE47" s="792"/>
      <c r="BF47" s="386"/>
      <c r="BG47" s="386"/>
      <c r="BH47" s="386"/>
      <c r="BI47" s="776"/>
      <c r="BJ47" s="776"/>
      <c r="BK47" s="776"/>
      <c r="BL47" s="776"/>
      <c r="BM47" s="776"/>
      <c r="BN47" s="776"/>
      <c r="BO47" s="776"/>
    </row>
    <row r="48" spans="1:67" s="208" customFormat="1" ht="15" customHeight="1">
      <c r="A48" s="780"/>
      <c r="B48" s="778"/>
      <c r="C48" s="386" t="s">
        <v>50</v>
      </c>
      <c r="D48" s="386">
        <f>D16</f>
        <v>0</v>
      </c>
      <c r="E48" s="386">
        <f>E16</f>
        <v>0</v>
      </c>
      <c r="F48" s="772"/>
      <c r="G48" s="793"/>
      <c r="H48" s="386" t="s">
        <v>50</v>
      </c>
      <c r="I48" s="386">
        <f>I16+D48</f>
        <v>0</v>
      </c>
      <c r="J48" s="386">
        <f>J16+E48</f>
        <v>3.48333</v>
      </c>
      <c r="K48" s="772"/>
      <c r="L48" s="783"/>
      <c r="M48" s="386" t="s">
        <v>50</v>
      </c>
      <c r="N48" s="386">
        <f>N16+I48</f>
        <v>0</v>
      </c>
      <c r="O48" s="386">
        <f>O16+J48</f>
        <v>7.8833300000000008</v>
      </c>
      <c r="P48" s="772"/>
      <c r="Q48" s="784"/>
      <c r="R48" s="386" t="s">
        <v>50</v>
      </c>
      <c r="S48" s="386">
        <f>S16+N48</f>
        <v>0</v>
      </c>
      <c r="T48" s="386">
        <f>T16+O48</f>
        <v>7.8833300000000008</v>
      </c>
      <c r="U48" s="772"/>
      <c r="V48" s="786"/>
      <c r="W48" s="386" t="s">
        <v>50</v>
      </c>
      <c r="X48" s="386">
        <f>X16+S48</f>
        <v>0</v>
      </c>
      <c r="Y48" s="386">
        <f>Y16+T48</f>
        <v>7.8833300000000008</v>
      </c>
      <c r="Z48" s="772"/>
      <c r="AA48" s="787"/>
      <c r="AB48" s="386" t="s">
        <v>50</v>
      </c>
      <c r="AC48" s="386">
        <f>AC16+X48</f>
        <v>0</v>
      </c>
      <c r="AD48" s="386">
        <f>AD16+Y48</f>
        <v>7.8833300000000008</v>
      </c>
      <c r="AE48" s="772"/>
      <c r="AF48" s="794"/>
      <c r="AG48" s="386" t="s">
        <v>50</v>
      </c>
      <c r="AH48" s="386">
        <f t="shared" ref="AH48:AI48" si="12">AH16+AC48</f>
        <v>0</v>
      </c>
      <c r="AI48" s="386">
        <f t="shared" si="12"/>
        <v>7.8833300000000008</v>
      </c>
      <c r="AJ48" s="785"/>
      <c r="AK48" s="789"/>
      <c r="AL48" s="386" t="s">
        <v>50</v>
      </c>
      <c r="AM48" s="386">
        <f t="shared" ref="AM48:AN48" si="13">AM16+AH48</f>
        <v>0</v>
      </c>
      <c r="AN48" s="386">
        <f t="shared" si="13"/>
        <v>7.8833300000000008</v>
      </c>
      <c r="AO48" s="772"/>
      <c r="AP48" s="790"/>
      <c r="AQ48" s="386" t="s">
        <v>50</v>
      </c>
      <c r="AR48" s="386">
        <f t="shared" ref="AR48:AS48" si="14">AR16+AM48</f>
        <v>0</v>
      </c>
      <c r="AS48" s="386">
        <f t="shared" si="14"/>
        <v>7.8833300000000008</v>
      </c>
      <c r="AT48" s="772"/>
      <c r="AU48" s="791"/>
      <c r="AV48" s="386" t="s">
        <v>50</v>
      </c>
      <c r="AW48" s="386">
        <f t="shared" ref="AW48:AX48" si="15">AW16+AR48</f>
        <v>0</v>
      </c>
      <c r="AX48" s="386">
        <f t="shared" si="15"/>
        <v>7.8833300000000008</v>
      </c>
      <c r="AY48" s="772"/>
      <c r="AZ48" s="429"/>
      <c r="BA48" s="386" t="s">
        <v>50</v>
      </c>
      <c r="BB48" s="386">
        <f t="shared" ref="BB48:BC48" si="16">BB16+AW48</f>
        <v>0</v>
      </c>
      <c r="BC48" s="386">
        <f t="shared" si="16"/>
        <v>7.8833300000000008</v>
      </c>
      <c r="BD48" s="770"/>
      <c r="BE48" s="792"/>
      <c r="BF48" s="386" t="s">
        <v>50</v>
      </c>
      <c r="BG48" s="386">
        <f t="shared" ref="BG48:BH48" si="17">BG16+BB48</f>
        <v>0</v>
      </c>
      <c r="BH48" s="386">
        <f t="shared" si="17"/>
        <v>7.8833300000000008</v>
      </c>
      <c r="BI48" s="776"/>
      <c r="BJ48" s="776"/>
      <c r="BK48" s="776"/>
      <c r="BL48" s="776"/>
      <c r="BM48" s="776"/>
      <c r="BN48" s="776"/>
      <c r="BO48" s="776"/>
    </row>
    <row r="49" spans="1:67" s="208" customFormat="1" ht="15" customHeight="1">
      <c r="A49" s="780"/>
      <c r="B49" s="778"/>
      <c r="C49" s="386"/>
      <c r="D49" s="386"/>
      <c r="E49" s="386"/>
      <c r="F49" s="772"/>
      <c r="G49" s="793"/>
      <c r="H49" s="386"/>
      <c r="I49" s="386"/>
      <c r="J49" s="386"/>
      <c r="K49" s="772"/>
      <c r="L49" s="783"/>
      <c r="M49" s="386"/>
      <c r="N49" s="386"/>
      <c r="O49" s="386"/>
      <c r="P49" s="772"/>
      <c r="Q49" s="784"/>
      <c r="R49" s="386"/>
      <c r="S49" s="386"/>
      <c r="T49" s="386"/>
      <c r="U49" s="772"/>
      <c r="V49" s="786"/>
      <c r="W49" s="386"/>
      <c r="X49" s="386"/>
      <c r="Y49" s="386"/>
      <c r="Z49" s="772"/>
      <c r="AA49" s="787"/>
      <c r="AB49" s="386"/>
      <c r="AC49" s="386"/>
      <c r="AD49" s="386"/>
      <c r="AE49" s="772"/>
      <c r="AF49" s="794"/>
      <c r="AG49" s="386"/>
      <c r="AH49" s="386"/>
      <c r="AI49" s="386"/>
      <c r="AJ49" s="785"/>
      <c r="AK49" s="789"/>
      <c r="AL49" s="386"/>
      <c r="AM49" s="386"/>
      <c r="AN49" s="386"/>
      <c r="AO49" s="772"/>
      <c r="AP49" s="790"/>
      <c r="AQ49" s="386"/>
      <c r="AR49" s="386"/>
      <c r="AS49" s="386"/>
      <c r="AT49" s="772"/>
      <c r="AU49" s="791"/>
      <c r="AV49" s="386"/>
      <c r="AW49" s="386"/>
      <c r="AX49" s="386"/>
      <c r="AY49" s="772"/>
      <c r="AZ49" s="429"/>
      <c r="BA49" s="386"/>
      <c r="BB49" s="386"/>
      <c r="BC49" s="386"/>
      <c r="BD49" s="770"/>
      <c r="BE49" s="792"/>
      <c r="BF49" s="386"/>
      <c r="BG49" s="386"/>
      <c r="BH49" s="386"/>
      <c r="BI49" s="776"/>
      <c r="BJ49" s="776"/>
      <c r="BK49" s="776"/>
      <c r="BL49" s="776"/>
      <c r="BM49" s="776"/>
      <c r="BN49" s="776"/>
      <c r="BO49" s="776"/>
    </row>
    <row r="50" spans="1:67" s="208" customFormat="1" ht="15" customHeight="1">
      <c r="A50" s="777"/>
      <c r="B50" s="778"/>
      <c r="C50" s="386" t="s">
        <v>51</v>
      </c>
      <c r="D50" s="386">
        <f>D18</f>
        <v>0</v>
      </c>
      <c r="E50" s="386">
        <f>E18</f>
        <v>10.216670000000001</v>
      </c>
      <c r="F50" s="785"/>
      <c r="G50" s="793"/>
      <c r="H50" s="386" t="s">
        <v>51</v>
      </c>
      <c r="I50" s="386">
        <f>I18+D50</f>
        <v>0</v>
      </c>
      <c r="J50" s="386">
        <f>J18+E50</f>
        <v>10.216670000000001</v>
      </c>
      <c r="K50" s="785"/>
      <c r="L50" s="783"/>
      <c r="M50" s="386" t="s">
        <v>51</v>
      </c>
      <c r="N50" s="386">
        <f>N18+I50</f>
        <v>0</v>
      </c>
      <c r="O50" s="386">
        <f>O18+J50</f>
        <v>10.216670000000001</v>
      </c>
      <c r="P50" s="785"/>
      <c r="Q50" s="784"/>
      <c r="R50" s="386" t="s">
        <v>51</v>
      </c>
      <c r="S50" s="386">
        <f>S18+N50</f>
        <v>0</v>
      </c>
      <c r="T50" s="386">
        <f>T18+O50</f>
        <v>10.216670000000001</v>
      </c>
      <c r="U50" s="785"/>
      <c r="V50" s="786"/>
      <c r="W50" s="386" t="s">
        <v>51</v>
      </c>
      <c r="X50" s="386">
        <f>X18+S50</f>
        <v>0</v>
      </c>
      <c r="Y50" s="386">
        <f>Y18+T50</f>
        <v>10.216670000000001</v>
      </c>
      <c r="Z50" s="785"/>
      <c r="AA50" s="787"/>
      <c r="AB50" s="386" t="s">
        <v>51</v>
      </c>
      <c r="AC50" s="386">
        <f>AC18+X50</f>
        <v>0</v>
      </c>
      <c r="AD50" s="386">
        <f>AD18+Y50</f>
        <v>10.216670000000001</v>
      </c>
      <c r="AE50" s="785"/>
      <c r="AF50" s="794"/>
      <c r="AG50" s="386" t="s">
        <v>51</v>
      </c>
      <c r="AH50" s="386">
        <f t="shared" ref="AH50:AI50" si="18">AH18+AC50</f>
        <v>0</v>
      </c>
      <c r="AI50" s="386">
        <f t="shared" si="18"/>
        <v>10.216670000000001</v>
      </c>
      <c r="AJ50" s="785"/>
      <c r="AK50" s="789"/>
      <c r="AL50" s="386" t="s">
        <v>51</v>
      </c>
      <c r="AM50" s="386">
        <f t="shared" ref="AM50:AN50" si="19">AM18+AH50</f>
        <v>0</v>
      </c>
      <c r="AN50" s="386">
        <f t="shared" si="19"/>
        <v>10.216670000000001</v>
      </c>
      <c r="AO50" s="785"/>
      <c r="AP50" s="790"/>
      <c r="AQ50" s="386" t="s">
        <v>51</v>
      </c>
      <c r="AR50" s="386">
        <f t="shared" ref="AR50:AS50" si="20">AR18+AM50</f>
        <v>0</v>
      </c>
      <c r="AS50" s="386">
        <f t="shared" si="20"/>
        <v>10.216670000000001</v>
      </c>
      <c r="AT50" s="785"/>
      <c r="AU50" s="791"/>
      <c r="AV50" s="386" t="s">
        <v>51</v>
      </c>
      <c r="AW50" s="386">
        <f t="shared" ref="AW50:AX50" si="21">AW18+AR50</f>
        <v>0</v>
      </c>
      <c r="AX50" s="386">
        <f t="shared" si="21"/>
        <v>10.216670000000001</v>
      </c>
      <c r="AY50" s="785"/>
      <c r="AZ50" s="429"/>
      <c r="BA50" s="386" t="s">
        <v>51</v>
      </c>
      <c r="BB50" s="386">
        <f t="shared" ref="BB50:BC50" si="22">BB18+AW50</f>
        <v>0</v>
      </c>
      <c r="BC50" s="386">
        <f t="shared" si="22"/>
        <v>10.216670000000001</v>
      </c>
      <c r="BD50" s="781"/>
      <c r="BE50" s="792"/>
      <c r="BF50" s="386" t="s">
        <v>51</v>
      </c>
      <c r="BG50" s="386">
        <f t="shared" ref="BG50:BH50" si="23">BG18+BB50</f>
        <v>0</v>
      </c>
      <c r="BH50" s="386">
        <f t="shared" si="23"/>
        <v>10.216670000000001</v>
      </c>
      <c r="BI50" s="776"/>
      <c r="BJ50" s="776"/>
      <c r="BK50" s="776"/>
      <c r="BL50" s="776"/>
      <c r="BM50" s="776"/>
      <c r="BN50" s="776"/>
      <c r="BO50" s="776"/>
    </row>
    <row r="51" spans="1:67" s="208" customFormat="1" ht="15" customHeight="1">
      <c r="A51" s="777"/>
      <c r="B51" s="778"/>
      <c r="C51" s="386"/>
      <c r="D51" s="386"/>
      <c r="E51" s="386"/>
      <c r="F51" s="785"/>
      <c r="G51" s="793"/>
      <c r="H51" s="386"/>
      <c r="I51" s="386"/>
      <c r="J51" s="386"/>
      <c r="K51" s="785"/>
      <c r="L51" s="783"/>
      <c r="M51" s="386"/>
      <c r="N51" s="386"/>
      <c r="O51" s="386"/>
      <c r="P51" s="785"/>
      <c r="Q51" s="784"/>
      <c r="R51" s="386"/>
      <c r="S51" s="386"/>
      <c r="T51" s="386"/>
      <c r="U51" s="785"/>
      <c r="V51" s="786"/>
      <c r="W51" s="386"/>
      <c r="X51" s="386"/>
      <c r="Y51" s="386"/>
      <c r="Z51" s="785"/>
      <c r="AA51" s="787"/>
      <c r="AB51" s="386"/>
      <c r="AC51" s="386"/>
      <c r="AD51" s="386"/>
      <c r="AE51" s="785"/>
      <c r="AF51" s="794"/>
      <c r="AG51" s="386"/>
      <c r="AH51" s="386"/>
      <c r="AI51" s="386"/>
      <c r="AJ51" s="785"/>
      <c r="AK51" s="789"/>
      <c r="AL51" s="386"/>
      <c r="AM51" s="386"/>
      <c r="AN51" s="386"/>
      <c r="AO51" s="785"/>
      <c r="AP51" s="790"/>
      <c r="AQ51" s="386"/>
      <c r="AR51" s="386"/>
      <c r="AS51" s="386"/>
      <c r="AT51" s="785"/>
      <c r="AU51" s="791"/>
      <c r="AV51" s="386"/>
      <c r="AW51" s="386"/>
      <c r="AX51" s="386"/>
      <c r="AY51" s="785"/>
      <c r="AZ51" s="429"/>
      <c r="BA51" s="386"/>
      <c r="BB51" s="386"/>
      <c r="BC51" s="386"/>
      <c r="BD51" s="781"/>
      <c r="BE51" s="792"/>
      <c r="BF51" s="386"/>
      <c r="BG51" s="386"/>
      <c r="BH51" s="386"/>
      <c r="BI51" s="776"/>
      <c r="BJ51" s="776"/>
      <c r="BK51" s="776"/>
      <c r="BL51" s="776"/>
      <c r="BM51" s="776"/>
      <c r="BN51" s="776"/>
      <c r="BO51" s="776"/>
    </row>
    <row r="52" spans="1:67" s="208" customFormat="1" ht="15" customHeight="1">
      <c r="A52" s="777"/>
      <c r="B52" s="778"/>
      <c r="C52" s="386" t="s">
        <v>52</v>
      </c>
      <c r="D52" s="386">
        <f>D20</f>
        <v>0</v>
      </c>
      <c r="E52" s="386">
        <f>E20</f>
        <v>0</v>
      </c>
      <c r="F52" s="785"/>
      <c r="G52" s="793"/>
      <c r="H52" s="386" t="s">
        <v>52</v>
      </c>
      <c r="I52" s="386">
        <f>I20+D52</f>
        <v>13.333299999999999</v>
      </c>
      <c r="J52" s="386">
        <f>J20+E52</f>
        <v>5.05</v>
      </c>
      <c r="K52" s="785"/>
      <c r="L52" s="783"/>
      <c r="M52" s="386" t="s">
        <v>52</v>
      </c>
      <c r="N52" s="386">
        <f>N20+I52</f>
        <v>44.516599999999997</v>
      </c>
      <c r="O52" s="386">
        <f>O20+J52</f>
        <v>68.399969999999996</v>
      </c>
      <c r="P52" s="785"/>
      <c r="Q52" s="784"/>
      <c r="R52" s="386" t="s">
        <v>52</v>
      </c>
      <c r="S52" s="386">
        <f>S20+N52</f>
        <v>44.516599999999997</v>
      </c>
      <c r="T52" s="386">
        <f>T20+O52</f>
        <v>93.2333</v>
      </c>
      <c r="U52" s="785"/>
      <c r="V52" s="786"/>
      <c r="W52" s="386" t="s">
        <v>52</v>
      </c>
      <c r="X52" s="386">
        <f>X20+S52</f>
        <v>44.516599999999997</v>
      </c>
      <c r="Y52" s="386">
        <f>Y20+T52</f>
        <v>93.2333</v>
      </c>
      <c r="Z52" s="785"/>
      <c r="AA52" s="787"/>
      <c r="AB52" s="386" t="s">
        <v>52</v>
      </c>
      <c r="AC52" s="386">
        <f>AC20+X52</f>
        <v>44.516599999999997</v>
      </c>
      <c r="AD52" s="386">
        <f>AD20+Y52</f>
        <v>93.2333</v>
      </c>
      <c r="AE52" s="785"/>
      <c r="AF52" s="794"/>
      <c r="AG52" s="386" t="s">
        <v>52</v>
      </c>
      <c r="AH52" s="386">
        <f t="shared" ref="AH52:AI52" si="24">AH20+AC52</f>
        <v>44.516599999999997</v>
      </c>
      <c r="AI52" s="386">
        <f t="shared" si="24"/>
        <v>93.2333</v>
      </c>
      <c r="AJ52" s="772"/>
      <c r="AK52" s="789"/>
      <c r="AL52" s="386" t="s">
        <v>52</v>
      </c>
      <c r="AM52" s="386">
        <f t="shared" ref="AM52:AN52" si="25">AM20+AH52</f>
        <v>44.516599999999997</v>
      </c>
      <c r="AN52" s="386">
        <f t="shared" si="25"/>
        <v>93.2333</v>
      </c>
      <c r="AO52" s="785"/>
      <c r="AP52" s="790"/>
      <c r="AQ52" s="386" t="s">
        <v>52</v>
      </c>
      <c r="AR52" s="386">
        <f t="shared" ref="AR52:AS52" si="26">AR20+AM52</f>
        <v>44.516599999999997</v>
      </c>
      <c r="AS52" s="386">
        <f t="shared" si="26"/>
        <v>93.2333</v>
      </c>
      <c r="AT52" s="785"/>
      <c r="AU52" s="791"/>
      <c r="AV52" s="386" t="s">
        <v>52</v>
      </c>
      <c r="AW52" s="386">
        <f t="shared" ref="AW52:AX52" si="27">AW20+AR52</f>
        <v>44.516599999999997</v>
      </c>
      <c r="AX52" s="386">
        <f t="shared" si="27"/>
        <v>93.2333</v>
      </c>
      <c r="AY52" s="785"/>
      <c r="AZ52" s="429"/>
      <c r="BA52" s="386" t="s">
        <v>52</v>
      </c>
      <c r="BB52" s="386">
        <f t="shared" ref="BB52:BC52" si="28">BB20+AW52</f>
        <v>44.516599999999997</v>
      </c>
      <c r="BC52" s="386">
        <f t="shared" si="28"/>
        <v>93.2333</v>
      </c>
      <c r="BD52" s="781"/>
      <c r="BE52" s="792"/>
      <c r="BF52" s="386" t="s">
        <v>52</v>
      </c>
      <c r="BG52" s="386">
        <f t="shared" ref="BG52:BH52" si="29">BG20+BB52</f>
        <v>44.516599999999997</v>
      </c>
      <c r="BH52" s="386">
        <f t="shared" si="29"/>
        <v>93.2333</v>
      </c>
      <c r="BI52" s="776"/>
      <c r="BJ52" s="776"/>
      <c r="BK52" s="776"/>
      <c r="BL52" s="776"/>
      <c r="BM52" s="776"/>
      <c r="BN52" s="776"/>
      <c r="BO52" s="776"/>
    </row>
    <row r="53" spans="1:67" s="208" customFormat="1" ht="15" customHeight="1">
      <c r="A53" s="777"/>
      <c r="B53" s="778"/>
      <c r="C53" s="386"/>
      <c r="D53" s="386"/>
      <c r="E53" s="386"/>
      <c r="F53" s="785"/>
      <c r="G53" s="793"/>
      <c r="H53" s="386"/>
      <c r="I53" s="386"/>
      <c r="J53" s="386"/>
      <c r="K53" s="785"/>
      <c r="L53" s="783"/>
      <c r="M53" s="386"/>
      <c r="N53" s="386"/>
      <c r="O53" s="386"/>
      <c r="P53" s="785"/>
      <c r="Q53" s="784"/>
      <c r="R53" s="386"/>
      <c r="S53" s="386"/>
      <c r="T53" s="386"/>
      <c r="U53" s="785"/>
      <c r="V53" s="786"/>
      <c r="W53" s="386"/>
      <c r="X53" s="386"/>
      <c r="Y53" s="386"/>
      <c r="Z53" s="785"/>
      <c r="AA53" s="787"/>
      <c r="AB53" s="386"/>
      <c r="AC53" s="386"/>
      <c r="AD53" s="386"/>
      <c r="AE53" s="785"/>
      <c r="AF53" s="794"/>
      <c r="AG53" s="386"/>
      <c r="AH53" s="386"/>
      <c r="AI53" s="386"/>
      <c r="AJ53" s="772"/>
      <c r="AK53" s="789"/>
      <c r="AL53" s="386"/>
      <c r="AM53" s="386"/>
      <c r="AN53" s="386"/>
      <c r="AO53" s="785"/>
      <c r="AP53" s="790"/>
      <c r="AQ53" s="386"/>
      <c r="AR53" s="386"/>
      <c r="AS53" s="386"/>
      <c r="AT53" s="785"/>
      <c r="AU53" s="791"/>
      <c r="AV53" s="386"/>
      <c r="AW53" s="386"/>
      <c r="AX53" s="386"/>
      <c r="AY53" s="785"/>
      <c r="AZ53" s="429"/>
      <c r="BA53" s="386"/>
      <c r="BB53" s="386"/>
      <c r="BC53" s="386"/>
      <c r="BD53" s="781"/>
      <c r="BE53" s="792"/>
      <c r="BF53" s="386"/>
      <c r="BG53" s="386"/>
      <c r="BH53" s="386"/>
      <c r="BI53" s="776"/>
      <c r="BJ53" s="776"/>
      <c r="BK53" s="776"/>
      <c r="BL53" s="776"/>
      <c r="BM53" s="776"/>
      <c r="BN53" s="776"/>
      <c r="BO53" s="776"/>
    </row>
    <row r="54" spans="1:67" s="208" customFormat="1" ht="15" customHeight="1">
      <c r="A54" s="780"/>
      <c r="B54" s="778"/>
      <c r="C54" s="386" t="s">
        <v>53</v>
      </c>
      <c r="D54" s="386">
        <f>D22</f>
        <v>0</v>
      </c>
      <c r="E54" s="386">
        <f>E22</f>
        <v>45.6</v>
      </c>
      <c r="F54" s="772"/>
      <c r="G54" s="793"/>
      <c r="H54" s="386" t="s">
        <v>53</v>
      </c>
      <c r="I54" s="386">
        <f>I22+D54</f>
        <v>0</v>
      </c>
      <c r="J54" s="386">
        <f>J22+E54</f>
        <v>73.600000000000009</v>
      </c>
      <c r="K54" s="772"/>
      <c r="L54" s="783"/>
      <c r="M54" s="386" t="s">
        <v>53</v>
      </c>
      <c r="N54" s="386">
        <f>N22+I54</f>
        <v>20</v>
      </c>
      <c r="O54" s="386">
        <f>O22+J54</f>
        <v>126.36663000000001</v>
      </c>
      <c r="P54" s="772"/>
      <c r="Q54" s="784"/>
      <c r="R54" s="386" t="s">
        <v>53</v>
      </c>
      <c r="S54" s="386">
        <f>S22+N54</f>
        <v>20</v>
      </c>
      <c r="T54" s="386">
        <f>T22+O54</f>
        <v>143.03330000000003</v>
      </c>
      <c r="U54" s="772"/>
      <c r="V54" s="786"/>
      <c r="W54" s="386" t="s">
        <v>53</v>
      </c>
      <c r="X54" s="386">
        <f>X22+S54</f>
        <v>20</v>
      </c>
      <c r="Y54" s="386">
        <f>Y22+T54</f>
        <v>143.03330000000003</v>
      </c>
      <c r="Z54" s="772"/>
      <c r="AA54" s="787"/>
      <c r="AB54" s="386" t="s">
        <v>53</v>
      </c>
      <c r="AC54" s="386">
        <f>AC22+X54</f>
        <v>20</v>
      </c>
      <c r="AD54" s="386">
        <f>AD22+Y54</f>
        <v>143.03330000000003</v>
      </c>
      <c r="AE54" s="772"/>
      <c r="AF54" s="794"/>
      <c r="AG54" s="386" t="s">
        <v>53</v>
      </c>
      <c r="AH54" s="386">
        <f t="shared" ref="AH54:AI54" si="30">AH22+AC54</f>
        <v>20</v>
      </c>
      <c r="AI54" s="386">
        <f t="shared" si="30"/>
        <v>143.03330000000003</v>
      </c>
      <c r="AJ54" s="785"/>
      <c r="AK54" s="789"/>
      <c r="AL54" s="386" t="s">
        <v>53</v>
      </c>
      <c r="AM54" s="386">
        <f t="shared" ref="AM54:AN54" si="31">AM22+AH54</f>
        <v>20</v>
      </c>
      <c r="AN54" s="386">
        <f t="shared" si="31"/>
        <v>143.03330000000003</v>
      </c>
      <c r="AO54" s="772"/>
      <c r="AP54" s="790"/>
      <c r="AQ54" s="386" t="s">
        <v>53</v>
      </c>
      <c r="AR54" s="386">
        <f t="shared" ref="AR54:AS54" si="32">AR22+AM54</f>
        <v>20</v>
      </c>
      <c r="AS54" s="386">
        <f t="shared" si="32"/>
        <v>143.03330000000003</v>
      </c>
      <c r="AT54" s="772"/>
      <c r="AU54" s="791"/>
      <c r="AV54" s="386" t="s">
        <v>53</v>
      </c>
      <c r="AW54" s="386">
        <f t="shared" ref="AW54:AX54" si="33">AW22+AR54</f>
        <v>20</v>
      </c>
      <c r="AX54" s="386">
        <f t="shared" si="33"/>
        <v>143.03330000000003</v>
      </c>
      <c r="AY54" s="772"/>
      <c r="AZ54" s="429"/>
      <c r="BA54" s="386" t="s">
        <v>53</v>
      </c>
      <c r="BB54" s="386">
        <f t="shared" ref="BB54:BC54" si="34">BB22+AW54</f>
        <v>20</v>
      </c>
      <c r="BC54" s="386">
        <f t="shared" si="34"/>
        <v>143.03330000000003</v>
      </c>
      <c r="BD54" s="770"/>
      <c r="BE54" s="792"/>
      <c r="BF54" s="386" t="s">
        <v>53</v>
      </c>
      <c r="BG54" s="386">
        <f t="shared" ref="BG54:BH54" si="35">BG22+BB54</f>
        <v>20</v>
      </c>
      <c r="BH54" s="386">
        <f t="shared" si="35"/>
        <v>143.03330000000003</v>
      </c>
      <c r="BI54" s="776"/>
      <c r="BJ54" s="776"/>
      <c r="BK54" s="776"/>
      <c r="BL54" s="776"/>
      <c r="BM54" s="776"/>
      <c r="BN54" s="776"/>
      <c r="BO54" s="776"/>
    </row>
    <row r="55" spans="1:67" s="208" customFormat="1" ht="15" customHeight="1">
      <c r="A55" s="780"/>
      <c r="B55" s="778"/>
      <c r="C55" s="386"/>
      <c r="D55" s="386"/>
      <c r="E55" s="386"/>
      <c r="F55" s="772"/>
      <c r="G55" s="793"/>
      <c r="H55" s="386"/>
      <c r="I55" s="386"/>
      <c r="J55" s="386"/>
      <c r="K55" s="772"/>
      <c r="L55" s="783"/>
      <c r="M55" s="386"/>
      <c r="N55" s="386"/>
      <c r="O55" s="386"/>
      <c r="P55" s="772"/>
      <c r="Q55" s="784"/>
      <c r="R55" s="386"/>
      <c r="S55" s="386"/>
      <c r="T55" s="386"/>
      <c r="U55" s="772"/>
      <c r="V55" s="786"/>
      <c r="W55" s="386"/>
      <c r="X55" s="386"/>
      <c r="Y55" s="386"/>
      <c r="Z55" s="772"/>
      <c r="AA55" s="787"/>
      <c r="AB55" s="386"/>
      <c r="AC55" s="386"/>
      <c r="AD55" s="386"/>
      <c r="AE55" s="772"/>
      <c r="AF55" s="794"/>
      <c r="AG55" s="386"/>
      <c r="AH55" s="386"/>
      <c r="AI55" s="386"/>
      <c r="AJ55" s="785"/>
      <c r="AK55" s="789"/>
      <c r="AL55" s="386"/>
      <c r="AM55" s="386"/>
      <c r="AN55" s="386"/>
      <c r="AO55" s="772"/>
      <c r="AP55" s="790"/>
      <c r="AQ55" s="386"/>
      <c r="AR55" s="386"/>
      <c r="AS55" s="386"/>
      <c r="AT55" s="772"/>
      <c r="AU55" s="791"/>
      <c r="AV55" s="386"/>
      <c r="AW55" s="386"/>
      <c r="AX55" s="386"/>
      <c r="AY55" s="772"/>
      <c r="AZ55" s="429"/>
      <c r="BA55" s="386"/>
      <c r="BB55" s="386"/>
      <c r="BC55" s="386"/>
      <c r="BD55" s="770"/>
      <c r="BE55" s="792"/>
      <c r="BF55" s="386"/>
      <c r="BG55" s="386"/>
      <c r="BH55" s="386"/>
      <c r="BI55" s="776"/>
      <c r="BJ55" s="776"/>
      <c r="BK55" s="776"/>
      <c r="BL55" s="776"/>
      <c r="BM55" s="776"/>
      <c r="BN55" s="776"/>
      <c r="BO55" s="776"/>
    </row>
    <row r="56" spans="1:67" s="208" customFormat="1" ht="15" customHeight="1">
      <c r="A56" s="777"/>
      <c r="B56" s="778"/>
      <c r="C56" s="386" t="s">
        <v>54</v>
      </c>
      <c r="D56" s="386">
        <f>D24</f>
        <v>0</v>
      </c>
      <c r="E56" s="386">
        <f>E24</f>
        <v>0</v>
      </c>
      <c r="F56" s="785"/>
      <c r="G56" s="793"/>
      <c r="H56" s="386" t="s">
        <v>54</v>
      </c>
      <c r="I56" s="386">
        <f>I24+D56</f>
        <v>1</v>
      </c>
      <c r="J56" s="386">
        <f>J24+E56</f>
        <v>0</v>
      </c>
      <c r="K56" s="785"/>
      <c r="L56" s="783"/>
      <c r="M56" s="386" t="s">
        <v>54</v>
      </c>
      <c r="N56" s="386">
        <f>N24+I56</f>
        <v>5.6666699999999999</v>
      </c>
      <c r="O56" s="386">
        <f>O24+J56</f>
        <v>0</v>
      </c>
      <c r="P56" s="785"/>
      <c r="Q56" s="784"/>
      <c r="R56" s="386" t="s">
        <v>54</v>
      </c>
      <c r="S56" s="386">
        <f>S24+N56</f>
        <v>29.733329999999999</v>
      </c>
      <c r="T56" s="386">
        <f>T24+O56</f>
        <v>5.4166699999999999</v>
      </c>
      <c r="U56" s="785"/>
      <c r="V56" s="786"/>
      <c r="W56" s="386" t="s">
        <v>54</v>
      </c>
      <c r="X56" s="386">
        <f>X24+S56</f>
        <v>29.733329999999999</v>
      </c>
      <c r="Y56" s="386">
        <f>Y24+T56</f>
        <v>5.4166699999999999</v>
      </c>
      <c r="Z56" s="785"/>
      <c r="AA56" s="787"/>
      <c r="AB56" s="386" t="s">
        <v>54</v>
      </c>
      <c r="AC56" s="386">
        <f>AC24+X56</f>
        <v>29.733329999999999</v>
      </c>
      <c r="AD56" s="386">
        <f>AD24+Y56</f>
        <v>5.4166699999999999</v>
      </c>
      <c r="AE56" s="785"/>
      <c r="AF56" s="794"/>
      <c r="AG56" s="386" t="s">
        <v>54</v>
      </c>
      <c r="AH56" s="386">
        <f t="shared" ref="AH56:AI56" si="36">AH24+AC56</f>
        <v>29.733329999999999</v>
      </c>
      <c r="AI56" s="386">
        <f t="shared" si="36"/>
        <v>5.4166699999999999</v>
      </c>
      <c r="AJ56" s="772"/>
      <c r="AK56" s="789"/>
      <c r="AL56" s="386" t="s">
        <v>54</v>
      </c>
      <c r="AM56" s="386">
        <f t="shared" ref="AM56:AN56" si="37">AM24+AH56</f>
        <v>29.733329999999999</v>
      </c>
      <c r="AN56" s="386">
        <f t="shared" si="37"/>
        <v>5.4166699999999999</v>
      </c>
      <c r="AO56" s="772"/>
      <c r="AP56" s="790"/>
      <c r="AQ56" s="386" t="s">
        <v>54</v>
      </c>
      <c r="AR56" s="386">
        <f t="shared" ref="AR56:AS56" si="38">AR24+AM56</f>
        <v>29.733329999999999</v>
      </c>
      <c r="AS56" s="386">
        <f t="shared" si="38"/>
        <v>5.4166699999999999</v>
      </c>
      <c r="AT56" s="772"/>
      <c r="AU56" s="791"/>
      <c r="AV56" s="386" t="s">
        <v>54</v>
      </c>
      <c r="AW56" s="386">
        <f t="shared" ref="AW56:AX56" si="39">AW24+AR56</f>
        <v>29.733329999999999</v>
      </c>
      <c r="AX56" s="386">
        <f t="shared" si="39"/>
        <v>5.4166699999999999</v>
      </c>
      <c r="AY56" s="772"/>
      <c r="AZ56" s="429"/>
      <c r="BA56" s="386" t="s">
        <v>54</v>
      </c>
      <c r="BB56" s="386">
        <f t="shared" ref="BB56:BC56" si="40">BB24+AW56</f>
        <v>29.733329999999999</v>
      </c>
      <c r="BC56" s="386">
        <f t="shared" si="40"/>
        <v>5.4166699999999999</v>
      </c>
      <c r="BD56" s="770"/>
      <c r="BE56" s="792"/>
      <c r="BF56" s="386" t="s">
        <v>54</v>
      </c>
      <c r="BG56" s="386">
        <f t="shared" ref="BG56:BH56" si="41">BG24+BB56</f>
        <v>29.733329999999999</v>
      </c>
      <c r="BH56" s="386">
        <f t="shared" si="41"/>
        <v>5.4166699999999999</v>
      </c>
      <c r="BI56" s="776"/>
      <c r="BJ56" s="776"/>
      <c r="BK56" s="776"/>
      <c r="BL56" s="776"/>
      <c r="BM56" s="776"/>
      <c r="BN56" s="776"/>
      <c r="BO56" s="776"/>
    </row>
    <row r="57" spans="1:67" s="208" customFormat="1" ht="15" customHeight="1">
      <c r="A57" s="777"/>
      <c r="B57" s="778"/>
      <c r="C57" s="386"/>
      <c r="D57" s="386"/>
      <c r="E57" s="386"/>
      <c r="F57" s="785"/>
      <c r="G57" s="793"/>
      <c r="H57" s="386"/>
      <c r="I57" s="386"/>
      <c r="J57" s="386"/>
      <c r="K57" s="785"/>
      <c r="L57" s="783"/>
      <c r="M57" s="386"/>
      <c r="N57" s="386"/>
      <c r="O57" s="386"/>
      <c r="P57" s="785"/>
      <c r="Q57" s="784"/>
      <c r="R57" s="386"/>
      <c r="S57" s="386"/>
      <c r="T57" s="386"/>
      <c r="U57" s="785"/>
      <c r="V57" s="786"/>
      <c r="W57" s="386"/>
      <c r="X57" s="386"/>
      <c r="Y57" s="386"/>
      <c r="Z57" s="785"/>
      <c r="AA57" s="787"/>
      <c r="AB57" s="386"/>
      <c r="AC57" s="386"/>
      <c r="AD57" s="386"/>
      <c r="AE57" s="785"/>
      <c r="AF57" s="794"/>
      <c r="AG57" s="386"/>
      <c r="AH57" s="386"/>
      <c r="AI57" s="386"/>
      <c r="AJ57" s="772"/>
      <c r="AK57" s="789"/>
      <c r="AL57" s="386"/>
      <c r="AM57" s="386"/>
      <c r="AN57" s="386"/>
      <c r="AO57" s="772"/>
      <c r="AP57" s="790"/>
      <c r="AQ57" s="386"/>
      <c r="AR57" s="386"/>
      <c r="AS57" s="386"/>
      <c r="AT57" s="772"/>
      <c r="AU57" s="791"/>
      <c r="AV57" s="386"/>
      <c r="AW57" s="386"/>
      <c r="AX57" s="386"/>
      <c r="AY57" s="772"/>
      <c r="AZ57" s="429"/>
      <c r="BA57" s="386"/>
      <c r="BB57" s="386"/>
      <c r="BC57" s="386"/>
      <c r="BD57" s="770"/>
      <c r="BE57" s="792"/>
      <c r="BF57" s="386"/>
      <c r="BG57" s="386"/>
      <c r="BH57" s="386"/>
      <c r="BI57" s="776"/>
      <c r="BJ57" s="776"/>
      <c r="BK57" s="776"/>
      <c r="BL57" s="776"/>
      <c r="BM57" s="776"/>
      <c r="BN57" s="776"/>
      <c r="BO57" s="776"/>
    </row>
    <row r="58" spans="1:67" s="208" customFormat="1" ht="15" customHeight="1">
      <c r="A58" s="777"/>
      <c r="B58" s="778"/>
      <c r="C58" s="386" t="s">
        <v>55</v>
      </c>
      <c r="D58" s="386">
        <f>D26</f>
        <v>0</v>
      </c>
      <c r="E58" s="386">
        <f>E26</f>
        <v>5.05</v>
      </c>
      <c r="F58" s="785"/>
      <c r="G58" s="793"/>
      <c r="H58" s="386" t="s">
        <v>55</v>
      </c>
      <c r="I58" s="386">
        <f>I26+D58</f>
        <v>0</v>
      </c>
      <c r="J58" s="386">
        <f>J26+E58</f>
        <v>20.366700000000002</v>
      </c>
      <c r="K58" s="785"/>
      <c r="L58" s="783"/>
      <c r="M58" s="386" t="s">
        <v>55</v>
      </c>
      <c r="N58" s="386">
        <f>N26+I58</f>
        <v>0</v>
      </c>
      <c r="O58" s="386">
        <f>O26+J58</f>
        <v>27.900030000000001</v>
      </c>
      <c r="P58" s="785"/>
      <c r="Q58" s="784"/>
      <c r="R58" s="386" t="s">
        <v>55</v>
      </c>
      <c r="S58" s="386">
        <f>S26+N58</f>
        <v>0</v>
      </c>
      <c r="T58" s="386">
        <f>T26+O58</f>
        <v>41.816699999999997</v>
      </c>
      <c r="U58" s="785"/>
      <c r="V58" s="786"/>
      <c r="W58" s="386" t="s">
        <v>55</v>
      </c>
      <c r="X58" s="386">
        <f>X26+S58</f>
        <v>0</v>
      </c>
      <c r="Y58" s="386">
        <f>Y26+T58</f>
        <v>41.816699999999997</v>
      </c>
      <c r="Z58" s="785"/>
      <c r="AA58" s="787"/>
      <c r="AB58" s="386" t="s">
        <v>55</v>
      </c>
      <c r="AC58" s="386">
        <f>AC26+X58</f>
        <v>0</v>
      </c>
      <c r="AD58" s="386">
        <f>AD26+Y58</f>
        <v>41.816699999999997</v>
      </c>
      <c r="AE58" s="785"/>
      <c r="AF58" s="794"/>
      <c r="AG58" s="386" t="s">
        <v>55</v>
      </c>
      <c r="AH58" s="386">
        <f t="shared" ref="AH58:AI58" si="42">AH26+AC58</f>
        <v>0</v>
      </c>
      <c r="AI58" s="386">
        <f t="shared" si="42"/>
        <v>41.816699999999997</v>
      </c>
      <c r="AJ58" s="781"/>
      <c r="AK58" s="789"/>
      <c r="AL58" s="386" t="s">
        <v>55</v>
      </c>
      <c r="AM58" s="386">
        <f t="shared" ref="AM58:AN58" si="43">AM26+AH58</f>
        <v>0</v>
      </c>
      <c r="AN58" s="386">
        <f t="shared" si="43"/>
        <v>41.816699999999997</v>
      </c>
      <c r="AO58" s="785"/>
      <c r="AP58" s="790"/>
      <c r="AQ58" s="386" t="s">
        <v>55</v>
      </c>
      <c r="AR58" s="386">
        <f t="shared" ref="AR58:AS58" si="44">AR26+AM58</f>
        <v>0</v>
      </c>
      <c r="AS58" s="386">
        <f t="shared" si="44"/>
        <v>41.816699999999997</v>
      </c>
      <c r="AT58" s="785"/>
      <c r="AU58" s="791"/>
      <c r="AV58" s="386" t="s">
        <v>55</v>
      </c>
      <c r="AW58" s="386">
        <f t="shared" ref="AW58:AX58" si="45">AW26+AR58</f>
        <v>0</v>
      </c>
      <c r="AX58" s="386">
        <f t="shared" si="45"/>
        <v>41.816699999999997</v>
      </c>
      <c r="AY58" s="785"/>
      <c r="AZ58" s="429"/>
      <c r="BA58" s="386" t="s">
        <v>55</v>
      </c>
      <c r="BB58" s="386">
        <f t="shared" ref="BB58:BC58" si="46">BB26+AW58</f>
        <v>0</v>
      </c>
      <c r="BC58" s="386">
        <f t="shared" si="46"/>
        <v>41.816699999999997</v>
      </c>
      <c r="BD58" s="781"/>
      <c r="BE58" s="792"/>
      <c r="BF58" s="386" t="s">
        <v>55</v>
      </c>
      <c r="BG58" s="386">
        <f t="shared" ref="BG58:BH58" si="47">BG26+BB58</f>
        <v>0</v>
      </c>
      <c r="BH58" s="386">
        <f t="shared" si="47"/>
        <v>41.816699999999997</v>
      </c>
      <c r="BI58" s="776"/>
      <c r="BJ58" s="776"/>
      <c r="BK58" s="776"/>
      <c r="BL58" s="776"/>
      <c r="BM58" s="776"/>
      <c r="BN58" s="776"/>
      <c r="BO58" s="776"/>
    </row>
    <row r="59" spans="1:67" s="208" customFormat="1" ht="15" customHeight="1">
      <c r="A59" s="777"/>
      <c r="B59" s="778"/>
      <c r="C59" s="386"/>
      <c r="D59" s="386"/>
      <c r="E59" s="386"/>
      <c r="F59" s="785"/>
      <c r="G59" s="793"/>
      <c r="H59" s="386"/>
      <c r="I59" s="386"/>
      <c r="J59" s="386"/>
      <c r="K59" s="785"/>
      <c r="L59" s="783"/>
      <c r="M59" s="386"/>
      <c r="N59" s="386"/>
      <c r="O59" s="386"/>
      <c r="P59" s="785"/>
      <c r="Q59" s="784"/>
      <c r="R59" s="386"/>
      <c r="S59" s="386"/>
      <c r="T59" s="386"/>
      <c r="U59" s="785"/>
      <c r="V59" s="786"/>
      <c r="W59" s="386"/>
      <c r="X59" s="386"/>
      <c r="Y59" s="386"/>
      <c r="Z59" s="785"/>
      <c r="AA59" s="787"/>
      <c r="AB59" s="386"/>
      <c r="AC59" s="386"/>
      <c r="AD59" s="386"/>
      <c r="AE59" s="785"/>
      <c r="AF59" s="794"/>
      <c r="AG59" s="386"/>
      <c r="AH59" s="386"/>
      <c r="AI59" s="386"/>
      <c r="AJ59" s="785"/>
      <c r="AK59" s="789"/>
      <c r="AL59" s="386"/>
      <c r="AM59" s="386"/>
      <c r="AN59" s="386"/>
      <c r="AO59" s="785"/>
      <c r="AP59" s="790"/>
      <c r="AQ59" s="386"/>
      <c r="AR59" s="386"/>
      <c r="AS59" s="386"/>
      <c r="AT59" s="785"/>
      <c r="AU59" s="791"/>
      <c r="AV59" s="386"/>
      <c r="AW59" s="386"/>
      <c r="AX59" s="386"/>
      <c r="AY59" s="785"/>
      <c r="AZ59" s="429"/>
      <c r="BA59" s="386"/>
      <c r="BB59" s="386"/>
      <c r="BC59" s="386"/>
      <c r="BD59" s="781"/>
      <c r="BE59" s="792"/>
      <c r="BF59" s="386"/>
      <c r="BG59" s="386"/>
      <c r="BH59" s="386"/>
      <c r="BI59" s="776"/>
      <c r="BJ59" s="776"/>
      <c r="BK59" s="776"/>
      <c r="BL59" s="776"/>
      <c r="BM59" s="776"/>
      <c r="BN59" s="776"/>
      <c r="BO59" s="776"/>
    </row>
    <row r="60" spans="1:67" ht="13.15" customHeight="1">
      <c r="A60" s="780"/>
      <c r="B60" s="778"/>
      <c r="C60" s="386" t="s">
        <v>56</v>
      </c>
      <c r="D60" s="386">
        <f t="shared" ref="D60:E60" si="48">D28</f>
        <v>559.01660000000004</v>
      </c>
      <c r="E60" s="386">
        <f t="shared" si="48"/>
        <v>3.8166699999999998</v>
      </c>
      <c r="F60" s="772"/>
      <c r="G60" s="793"/>
      <c r="H60" s="386" t="s">
        <v>56</v>
      </c>
      <c r="I60" s="386">
        <f t="shared" ref="I60" si="49">I28+D60</f>
        <v>1307.5999000000002</v>
      </c>
      <c r="J60" s="386">
        <f t="shared" ref="J60" si="50">J28+E60</f>
        <v>23.116669999999999</v>
      </c>
      <c r="K60" s="772"/>
      <c r="L60" s="783"/>
      <c r="M60" s="386" t="s">
        <v>56</v>
      </c>
      <c r="N60" s="386">
        <f t="shared" ref="N60" si="51">N28+I60</f>
        <v>1852.6666000000002</v>
      </c>
      <c r="O60" s="386">
        <f t="shared" ref="O60" si="52">O28+J60</f>
        <v>42.866669999999999</v>
      </c>
      <c r="P60" s="772"/>
      <c r="Q60" s="784"/>
      <c r="R60" s="386" t="s">
        <v>56</v>
      </c>
      <c r="S60" s="386">
        <f t="shared" ref="S60" si="53">S28+N60</f>
        <v>1967.9333000000001</v>
      </c>
      <c r="T60" s="386">
        <f t="shared" ref="T60" si="54">T28+O60</f>
        <v>56.383339999999997</v>
      </c>
      <c r="U60" s="772"/>
      <c r="V60" s="786"/>
      <c r="W60" s="386" t="s">
        <v>56</v>
      </c>
      <c r="X60" s="386">
        <f t="shared" ref="X60" si="55">X28+S60</f>
        <v>1967.9333000000001</v>
      </c>
      <c r="Y60" s="386">
        <f t="shared" ref="Y60" si="56">Y28+T60</f>
        <v>56.383339999999997</v>
      </c>
      <c r="Z60" s="772"/>
      <c r="AA60" s="787"/>
      <c r="AB60" s="386" t="s">
        <v>56</v>
      </c>
      <c r="AC60" s="386">
        <f t="shared" ref="AC60" si="57">AC28+X60</f>
        <v>1967.9333000000001</v>
      </c>
      <c r="AD60" s="386">
        <f t="shared" ref="AD60" si="58">AD28+Y60</f>
        <v>56.383339999999997</v>
      </c>
      <c r="AE60" s="772"/>
      <c r="AF60" s="794"/>
      <c r="AG60" s="386" t="s">
        <v>56</v>
      </c>
      <c r="AH60" s="386">
        <f t="shared" ref="AH60:AI60" si="59">AH28+AC60</f>
        <v>1967.9333000000001</v>
      </c>
      <c r="AI60" s="386">
        <f t="shared" si="59"/>
        <v>56.383339999999997</v>
      </c>
      <c r="AK60" s="789"/>
      <c r="AL60" s="386" t="s">
        <v>56</v>
      </c>
      <c r="AM60" s="386">
        <f t="shared" ref="AM60:AN60" si="60">AM28+AH60</f>
        <v>1967.9333000000001</v>
      </c>
      <c r="AN60" s="386">
        <f t="shared" si="60"/>
        <v>56.383339999999997</v>
      </c>
      <c r="AO60" s="772"/>
      <c r="AP60" s="790"/>
      <c r="AQ60" s="386" t="s">
        <v>56</v>
      </c>
      <c r="AR60" s="386">
        <f t="shared" ref="AR60:AS60" si="61">AR28+AM60</f>
        <v>1967.9333000000001</v>
      </c>
      <c r="AS60" s="386">
        <f t="shared" si="61"/>
        <v>56.383339999999997</v>
      </c>
      <c r="AT60" s="772"/>
      <c r="AU60" s="791"/>
      <c r="AV60" s="386" t="s">
        <v>56</v>
      </c>
      <c r="AW60" s="386">
        <f t="shared" ref="AW60:AX60" si="62">AW28+AR60</f>
        <v>1967.9333000000001</v>
      </c>
      <c r="AX60" s="386">
        <f t="shared" si="62"/>
        <v>56.383339999999997</v>
      </c>
      <c r="AY60" s="772"/>
      <c r="AZ60" s="429"/>
      <c r="BA60" s="386" t="s">
        <v>56</v>
      </c>
      <c r="BB60" s="386">
        <f t="shared" ref="BB60:BC60" si="63">BB28+AW60</f>
        <v>1967.9333000000001</v>
      </c>
      <c r="BC60" s="386">
        <f t="shared" si="63"/>
        <v>56.383339999999997</v>
      </c>
      <c r="BD60" s="770"/>
      <c r="BE60" s="792"/>
      <c r="BF60" s="386" t="s">
        <v>56</v>
      </c>
      <c r="BG60" s="386">
        <f t="shared" ref="BG60:BH60" si="64">BG28+BB60</f>
        <v>1967.9333000000001</v>
      </c>
      <c r="BH60" s="386">
        <f t="shared" si="64"/>
        <v>56.383339999999997</v>
      </c>
      <c r="BI60" s="776"/>
      <c r="BJ60" s="776"/>
      <c r="BK60" s="776"/>
      <c r="BL60" s="776"/>
      <c r="BM60" s="776"/>
      <c r="BN60" s="776"/>
      <c r="BO60" s="776"/>
    </row>
    <row r="61" spans="1:67" ht="13.5" thickBot="1">
      <c r="A61" s="780"/>
      <c r="B61" s="778"/>
      <c r="C61" s="386"/>
      <c r="D61" s="386"/>
      <c r="E61" s="386"/>
      <c r="F61" s="772"/>
      <c r="G61" s="793"/>
      <c r="H61" s="386"/>
      <c r="I61" s="386"/>
      <c r="J61" s="386"/>
      <c r="K61" s="772"/>
      <c r="L61" s="783"/>
      <c r="M61" s="386"/>
      <c r="N61" s="386"/>
      <c r="O61" s="386"/>
      <c r="P61" s="772"/>
      <c r="Q61" s="784"/>
      <c r="R61" s="386"/>
      <c r="S61" s="386"/>
      <c r="T61" s="386"/>
      <c r="U61" s="772"/>
      <c r="V61" s="786"/>
      <c r="W61" s="386"/>
      <c r="X61" s="386"/>
      <c r="Y61" s="386"/>
      <c r="Z61" s="772"/>
      <c r="AA61" s="787"/>
      <c r="AB61" s="386"/>
      <c r="AC61" s="386"/>
      <c r="AD61" s="386"/>
      <c r="AE61" s="772"/>
      <c r="AF61" s="794"/>
      <c r="AG61" s="386"/>
      <c r="AH61" s="386"/>
      <c r="AI61" s="386"/>
      <c r="AK61" s="789"/>
      <c r="AL61" s="386"/>
      <c r="AM61" s="386"/>
      <c r="AN61" s="386"/>
      <c r="AP61" s="790"/>
      <c r="AQ61" s="386"/>
      <c r="AR61" s="386"/>
      <c r="AS61" s="386"/>
      <c r="AU61" s="791"/>
      <c r="AV61" s="386"/>
      <c r="AW61" s="386"/>
      <c r="AX61" s="386"/>
      <c r="AZ61" s="429"/>
      <c r="BA61" s="386"/>
      <c r="BB61" s="386"/>
      <c r="BC61" s="386"/>
      <c r="BE61" s="792"/>
      <c r="BF61" s="386"/>
      <c r="BG61" s="386"/>
      <c r="BH61" s="386"/>
    </row>
    <row r="62" spans="1:67" ht="14.25" thickTop="1" thickBot="1">
      <c r="A62" s="777"/>
      <c r="B62" s="797"/>
      <c r="C62" s="387" t="s">
        <v>103</v>
      </c>
      <c r="D62" s="387">
        <f>SUM(D38:D61)</f>
        <v>4310.4980999999989</v>
      </c>
      <c r="E62" s="387">
        <f>SUM(E38:E61)</f>
        <v>64.683340000000001</v>
      </c>
      <c r="F62" s="785"/>
      <c r="G62" s="798"/>
      <c r="H62" s="387" t="s">
        <v>103</v>
      </c>
      <c r="I62" s="387">
        <f>SUM(I38:I61)</f>
        <v>8196.0472999999984</v>
      </c>
      <c r="J62" s="387">
        <f>SUM(J38:J61)</f>
        <v>154.05004000000002</v>
      </c>
      <c r="K62" s="785"/>
      <c r="L62" s="799"/>
      <c r="M62" s="387" t="s">
        <v>103</v>
      </c>
      <c r="N62" s="387">
        <f>SUM(N38:N61)</f>
        <v>9432.7138399999985</v>
      </c>
      <c r="O62" s="387">
        <f>SUM(O38:O61)</f>
        <v>357.83333000000005</v>
      </c>
      <c r="P62" s="785"/>
      <c r="Q62" s="771"/>
      <c r="R62" s="387" t="s">
        <v>103</v>
      </c>
      <c r="S62" s="387">
        <f>SUM(S38:S61)</f>
        <v>9761.9472999999998</v>
      </c>
      <c r="T62" s="387">
        <f>SUM(T38:T61)</f>
        <v>455.30004000000008</v>
      </c>
      <c r="U62" s="785"/>
      <c r="V62" s="800"/>
      <c r="W62" s="387" t="s">
        <v>103</v>
      </c>
      <c r="X62" s="387">
        <f>SUM(X38:X61)</f>
        <v>9761.9472999999998</v>
      </c>
      <c r="Y62" s="387">
        <f>SUM(Y38:Y61)</f>
        <v>455.30004000000008</v>
      </c>
      <c r="Z62" s="781"/>
      <c r="AA62" s="801"/>
      <c r="AB62" s="387" t="s">
        <v>103</v>
      </c>
      <c r="AC62" s="387">
        <f>SUM(AC38:AC61)</f>
        <v>9761.9472999999998</v>
      </c>
      <c r="AD62" s="387">
        <f>SUM(AD38:AD61)</f>
        <v>455.30004000000008</v>
      </c>
      <c r="AE62" s="781"/>
      <c r="AF62" s="802"/>
      <c r="AG62" s="387" t="s">
        <v>103</v>
      </c>
      <c r="AH62" s="387">
        <f>SUM(AH38:AH61)</f>
        <v>9761.9472999999998</v>
      </c>
      <c r="AI62" s="387">
        <f>SUM(AI38:AI61)</f>
        <v>455.30004000000008</v>
      </c>
      <c r="AK62" s="789"/>
      <c r="AL62" s="387" t="s">
        <v>103</v>
      </c>
      <c r="AM62" s="387">
        <f>SUM(AM38:AM61)</f>
        <v>9761.9472999999998</v>
      </c>
      <c r="AN62" s="387">
        <f>SUM(AN38:AN61)</f>
        <v>455.30004000000008</v>
      </c>
      <c r="AP62" s="790"/>
      <c r="AQ62" s="387" t="s">
        <v>103</v>
      </c>
      <c r="AR62" s="387">
        <f>SUM(AR38:AR61)</f>
        <v>9761.9472999999998</v>
      </c>
      <c r="AS62" s="387">
        <f>SUM(AS38:AS61)</f>
        <v>455.30004000000008</v>
      </c>
      <c r="AU62" s="791"/>
      <c r="AV62" s="387" t="s">
        <v>103</v>
      </c>
      <c r="AW62" s="387">
        <f>SUM(AW38:AW61)</f>
        <v>9761.9472999999998</v>
      </c>
      <c r="AX62" s="387">
        <f>SUM(AX38:AX61)</f>
        <v>455.30004000000008</v>
      </c>
      <c r="AZ62" s="429"/>
      <c r="BA62" s="387" t="s">
        <v>103</v>
      </c>
      <c r="BB62" s="387">
        <f>SUM(BB38:BB61)</f>
        <v>9761.9472999999998</v>
      </c>
      <c r="BC62" s="387">
        <f>SUM(BC38:BC61)</f>
        <v>455.30004000000008</v>
      </c>
      <c r="BE62" s="792"/>
      <c r="BF62" s="387" t="s">
        <v>103</v>
      </c>
      <c r="BG62" s="387">
        <f>SUM(BG38:BG61)</f>
        <v>9761.9472999999998</v>
      </c>
      <c r="BH62" s="387">
        <f>SUM(BH38:BH61)</f>
        <v>455.30004000000008</v>
      </c>
    </row>
  </sheetData>
  <mergeCells count="124">
    <mergeCell ref="B32:E32"/>
    <mergeCell ref="BC35:BC37"/>
    <mergeCell ref="BF35:BF37"/>
    <mergeCell ref="BG35:BG37"/>
    <mergeCell ref="BH35:BH37"/>
    <mergeCell ref="AK33:AN33"/>
    <mergeCell ref="AP33:AS33"/>
    <mergeCell ref="AU33:AX33"/>
    <mergeCell ref="AZ33:BC33"/>
    <mergeCell ref="BE33:BH33"/>
    <mergeCell ref="AK34:AN34"/>
    <mergeCell ref="AP34:AS34"/>
    <mergeCell ref="AU34:AX34"/>
    <mergeCell ref="AZ34:BC34"/>
    <mergeCell ref="BE34:BH34"/>
    <mergeCell ref="AV35:AV37"/>
    <mergeCell ref="AW35:AW37"/>
    <mergeCell ref="AX35:AX37"/>
    <mergeCell ref="BA35:BA37"/>
    <mergeCell ref="BB35:BB37"/>
    <mergeCell ref="AM35:AM37"/>
    <mergeCell ref="AN35:AN37"/>
    <mergeCell ref="AR35:AR37"/>
    <mergeCell ref="AS35:AS37"/>
    <mergeCell ref="AL35:AL37"/>
    <mergeCell ref="AQ35:AQ37"/>
    <mergeCell ref="N3:N5"/>
    <mergeCell ref="S3:S5"/>
    <mergeCell ref="X3:X5"/>
    <mergeCell ref="AC3:AC5"/>
    <mergeCell ref="AH3:AH5"/>
    <mergeCell ref="B33:E33"/>
    <mergeCell ref="G33:J33"/>
    <mergeCell ref="L33:O33"/>
    <mergeCell ref="Q33:T33"/>
    <mergeCell ref="V33:Y33"/>
    <mergeCell ref="AA33:AD33"/>
    <mergeCell ref="AF33:AI33"/>
    <mergeCell ref="AG35:AG37"/>
    <mergeCell ref="AI35:AI37"/>
    <mergeCell ref="W35:W37"/>
    <mergeCell ref="Y35:Y37"/>
    <mergeCell ref="AA35:AA37"/>
    <mergeCell ref="AB35:AB37"/>
    <mergeCell ref="AD35:AD37"/>
    <mergeCell ref="AF35:AF37"/>
    <mergeCell ref="AF34:AI34"/>
    <mergeCell ref="AA34:AD34"/>
    <mergeCell ref="X35:X37"/>
    <mergeCell ref="AC35:AC37"/>
    <mergeCell ref="AH35:AH37"/>
    <mergeCell ref="V35:V37"/>
    <mergeCell ref="B35:B37"/>
    <mergeCell ref="C35:C37"/>
    <mergeCell ref="E35:E37"/>
    <mergeCell ref="G35:G37"/>
    <mergeCell ref="H35:H37"/>
    <mergeCell ref="J35:J37"/>
    <mergeCell ref="L35:L37"/>
    <mergeCell ref="M35:M37"/>
    <mergeCell ref="O35:O37"/>
    <mergeCell ref="R35:R37"/>
    <mergeCell ref="T35:T37"/>
    <mergeCell ref="D35:D37"/>
    <mergeCell ref="I35:I37"/>
    <mergeCell ref="N35:N37"/>
    <mergeCell ref="S35:S37"/>
    <mergeCell ref="B34:E34"/>
    <mergeCell ref="G34:J34"/>
    <mergeCell ref="L34:O34"/>
    <mergeCell ref="Q34:T34"/>
    <mergeCell ref="V34:Y34"/>
    <mergeCell ref="AB3:AB5"/>
    <mergeCell ref="AD3:AD5"/>
    <mergeCell ref="BF3:BF5"/>
    <mergeCell ref="BH3:BH5"/>
    <mergeCell ref="BA3:BA5"/>
    <mergeCell ref="BC3:BC5"/>
    <mergeCell ref="AU3:AU5"/>
    <mergeCell ref="AV3:AV5"/>
    <mergeCell ref="AX3:AX5"/>
    <mergeCell ref="AQ3:AQ5"/>
    <mergeCell ref="AS3:AS5"/>
    <mergeCell ref="AM3:AM5"/>
    <mergeCell ref="AR3:AR5"/>
    <mergeCell ref="AW3:AW5"/>
    <mergeCell ref="BB3:BB5"/>
    <mergeCell ref="BG3:BG5"/>
    <mergeCell ref="L3:L5"/>
    <mergeCell ref="M3:M5"/>
    <mergeCell ref="O3:O5"/>
    <mergeCell ref="AU2:AX2"/>
    <mergeCell ref="AZ2:BC2"/>
    <mergeCell ref="BE2:BH2"/>
    <mergeCell ref="L2:O2"/>
    <mergeCell ref="Q2:T2"/>
    <mergeCell ref="V2:Y2"/>
    <mergeCell ref="AA2:AD2"/>
    <mergeCell ref="AF2:AI2"/>
    <mergeCell ref="AK2:AN2"/>
    <mergeCell ref="AP2:AS2"/>
    <mergeCell ref="B2:E2"/>
    <mergeCell ref="G2:J2"/>
    <mergeCell ref="G3:G5"/>
    <mergeCell ref="H3:H5"/>
    <mergeCell ref="J3:J5"/>
    <mergeCell ref="B3:B5"/>
    <mergeCell ref="C3:C5"/>
    <mergeCell ref="E3:E5"/>
    <mergeCell ref="D3:D5"/>
    <mergeCell ref="I3:I5"/>
    <mergeCell ref="R3:R5"/>
    <mergeCell ref="T3:T5"/>
    <mergeCell ref="AI3:AI5"/>
    <mergeCell ref="AP3:AP5"/>
    <mergeCell ref="AK3:AK5"/>
    <mergeCell ref="AL3:AL5"/>
    <mergeCell ref="AN3:AN5"/>
    <mergeCell ref="AF3:AF5"/>
    <mergeCell ref="AG3:AG5"/>
    <mergeCell ref="AA3:AA5"/>
    <mergeCell ref="V3:V5"/>
    <mergeCell ref="W3:W5"/>
    <mergeCell ref="Y3:Y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selection sqref="A1:G1"/>
    </sheetView>
  </sheetViews>
  <sheetFormatPr defaultRowHeight="12.75"/>
  <cols>
    <col min="1" max="1" width="15" style="434" customWidth="1"/>
    <col min="2" max="2" width="13.42578125" style="433" bestFit="1" customWidth="1"/>
    <col min="3" max="7" width="13" style="434" customWidth="1"/>
    <col min="8" max="16384" width="9.140625" style="434"/>
  </cols>
  <sheetData>
    <row r="1" spans="1:7" ht="18">
      <c r="A1" s="719" t="s">
        <v>105</v>
      </c>
      <c r="B1" s="719"/>
      <c r="C1" s="719"/>
      <c r="D1" s="719"/>
      <c r="E1" s="719"/>
      <c r="F1" s="719"/>
      <c r="G1" s="719"/>
    </row>
    <row r="2" spans="1:7" ht="12.75" customHeight="1">
      <c r="A2" s="715" t="s">
        <v>106</v>
      </c>
      <c r="B2" s="720" t="s">
        <v>107</v>
      </c>
      <c r="C2" s="717" t="s">
        <v>108</v>
      </c>
      <c r="D2" s="717"/>
      <c r="E2" s="717"/>
      <c r="F2" s="717"/>
      <c r="G2" s="717"/>
    </row>
    <row r="3" spans="1:7" ht="15" customHeight="1">
      <c r="A3" s="715"/>
      <c r="B3" s="720"/>
      <c r="C3" s="717"/>
      <c r="D3" s="717"/>
      <c r="E3" s="717"/>
      <c r="F3" s="717"/>
      <c r="G3" s="717"/>
    </row>
    <row r="4" spans="1:7" ht="15.75" customHeight="1">
      <c r="A4" s="715"/>
      <c r="B4" s="498" t="s">
        <v>109</v>
      </c>
      <c r="C4" s="717" t="s">
        <v>110</v>
      </c>
      <c r="D4" s="717"/>
      <c r="E4" s="717"/>
      <c r="F4" s="717"/>
      <c r="G4" s="717"/>
    </row>
    <row r="5" spans="1:7" ht="15" customHeight="1">
      <c r="A5" s="715" t="s">
        <v>111</v>
      </c>
      <c r="B5" s="716" t="s">
        <v>107</v>
      </c>
      <c r="C5" s="717" t="s">
        <v>112</v>
      </c>
      <c r="D5" s="717"/>
      <c r="E5" s="717"/>
      <c r="F5" s="717"/>
      <c r="G5" s="717"/>
    </row>
    <row r="6" spans="1:7" ht="12.75" customHeight="1">
      <c r="A6" s="715"/>
      <c r="B6" s="716"/>
      <c r="C6" s="717"/>
      <c r="D6" s="717"/>
      <c r="E6" s="717"/>
      <c r="F6" s="717"/>
      <c r="G6" s="717"/>
    </row>
    <row r="7" spans="1:7" ht="15" customHeight="1">
      <c r="A7" s="715"/>
      <c r="B7" s="498" t="s">
        <v>113</v>
      </c>
      <c r="C7" s="714" t="s">
        <v>114</v>
      </c>
      <c r="D7" s="714"/>
      <c r="E7" s="714"/>
      <c r="F7" s="714"/>
      <c r="G7" s="714"/>
    </row>
    <row r="8" spans="1:7" ht="15" customHeight="1">
      <c r="A8" s="715"/>
      <c r="B8" s="498" t="s">
        <v>115</v>
      </c>
      <c r="C8" s="714" t="s">
        <v>116</v>
      </c>
      <c r="D8" s="714"/>
      <c r="E8" s="714"/>
      <c r="F8" s="714"/>
      <c r="G8" s="714"/>
    </row>
    <row r="9" spans="1:7" ht="15" customHeight="1">
      <c r="A9" s="715"/>
      <c r="B9" s="498" t="s">
        <v>117</v>
      </c>
      <c r="C9" s="714" t="s">
        <v>118</v>
      </c>
      <c r="D9" s="714"/>
      <c r="E9" s="714"/>
      <c r="F9" s="714"/>
      <c r="G9" s="714"/>
    </row>
    <row r="10" spans="1:7" ht="15" customHeight="1">
      <c r="A10" s="718" t="s">
        <v>37</v>
      </c>
      <c r="B10" s="437" t="s">
        <v>107</v>
      </c>
      <c r="C10" s="714" t="s">
        <v>119</v>
      </c>
      <c r="D10" s="714"/>
      <c r="E10" s="714"/>
      <c r="F10" s="714"/>
      <c r="G10" s="714"/>
    </row>
    <row r="11" spans="1:7" ht="15" customHeight="1">
      <c r="A11" s="718"/>
      <c r="B11" s="498" t="s">
        <v>113</v>
      </c>
      <c r="C11" s="714" t="s">
        <v>120</v>
      </c>
      <c r="D11" s="714"/>
      <c r="E11" s="714"/>
      <c r="F11" s="714"/>
      <c r="G11" s="714"/>
    </row>
    <row r="12" spans="1:7" ht="15" customHeight="1">
      <c r="A12" s="718"/>
      <c r="B12" s="498" t="s">
        <v>115</v>
      </c>
      <c r="C12" s="714" t="s">
        <v>121</v>
      </c>
      <c r="D12" s="714"/>
      <c r="E12" s="714"/>
      <c r="F12" s="714"/>
      <c r="G12" s="714"/>
    </row>
    <row r="13" spans="1:7" ht="15" customHeight="1">
      <c r="A13" s="718"/>
      <c r="B13" s="498" t="s">
        <v>117</v>
      </c>
      <c r="C13" s="714" t="s">
        <v>122</v>
      </c>
      <c r="D13" s="714"/>
      <c r="E13" s="714"/>
      <c r="F13" s="714"/>
      <c r="G13" s="714"/>
    </row>
    <row r="14" spans="1:7" ht="30" customHeight="1">
      <c r="A14" s="715" t="s">
        <v>38</v>
      </c>
      <c r="B14" s="437" t="s">
        <v>107</v>
      </c>
      <c r="C14" s="717" t="s">
        <v>123</v>
      </c>
      <c r="D14" s="717"/>
      <c r="E14" s="717"/>
      <c r="F14" s="717"/>
      <c r="G14" s="717"/>
    </row>
    <row r="15" spans="1:7" ht="15" customHeight="1">
      <c r="A15" s="715"/>
      <c r="B15" s="498" t="s">
        <v>113</v>
      </c>
      <c r="C15" s="714" t="s">
        <v>124</v>
      </c>
      <c r="D15" s="714"/>
      <c r="E15" s="714"/>
      <c r="F15" s="714"/>
      <c r="G15" s="714"/>
    </row>
    <row r="16" spans="1:7" ht="15" customHeight="1">
      <c r="A16" s="715"/>
      <c r="B16" s="498" t="s">
        <v>115</v>
      </c>
      <c r="C16" s="714" t="s">
        <v>125</v>
      </c>
      <c r="D16" s="714"/>
      <c r="E16" s="714"/>
      <c r="F16" s="714"/>
      <c r="G16" s="714"/>
    </row>
    <row r="17" spans="1:7" ht="15" customHeight="1">
      <c r="A17" s="715"/>
      <c r="B17" s="498" t="s">
        <v>117</v>
      </c>
      <c r="C17" s="714" t="s">
        <v>126</v>
      </c>
      <c r="D17" s="714"/>
      <c r="E17" s="714"/>
      <c r="F17" s="714"/>
      <c r="G17" s="714"/>
    </row>
    <row r="18" spans="1:7" ht="60" customHeight="1">
      <c r="A18" s="715" t="s">
        <v>127</v>
      </c>
      <c r="B18" s="437" t="s">
        <v>107</v>
      </c>
      <c r="C18" s="717" t="s">
        <v>128</v>
      </c>
      <c r="D18" s="717"/>
      <c r="E18" s="717"/>
      <c r="F18" s="717"/>
      <c r="G18" s="717"/>
    </row>
    <row r="19" spans="1:7" ht="15" customHeight="1">
      <c r="A19" s="715"/>
      <c r="B19" s="437" t="s">
        <v>109</v>
      </c>
      <c r="C19" s="714" t="s">
        <v>129</v>
      </c>
      <c r="D19" s="714"/>
      <c r="E19" s="714"/>
      <c r="F19" s="714"/>
      <c r="G19" s="714"/>
    </row>
  </sheetData>
  <mergeCells count="24">
    <mergeCell ref="A18:A19"/>
    <mergeCell ref="C18:G18"/>
    <mergeCell ref="C19:G19"/>
    <mergeCell ref="A14:A17"/>
    <mergeCell ref="C14:G14"/>
    <mergeCell ref="C15:G15"/>
    <mergeCell ref="C16:G16"/>
    <mergeCell ref="C17:G17"/>
    <mergeCell ref="A1:G1"/>
    <mergeCell ref="A2:A4"/>
    <mergeCell ref="B2:B3"/>
    <mergeCell ref="C2:G3"/>
    <mergeCell ref="C4:G4"/>
    <mergeCell ref="C13:G13"/>
    <mergeCell ref="A5:A9"/>
    <mergeCell ref="B5:B6"/>
    <mergeCell ref="C5:G6"/>
    <mergeCell ref="C7:G7"/>
    <mergeCell ref="C8:G8"/>
    <mergeCell ref="C9:G9"/>
    <mergeCell ref="A10:A13"/>
    <mergeCell ref="C10:G10"/>
    <mergeCell ref="C11:G11"/>
    <mergeCell ref="C12:G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2:GB117"/>
  <sheetViews>
    <sheetView view="pageBreakPreview" zoomScale="75" zoomScaleNormal="75" workbookViewId="0">
      <pane xSplit="3" ySplit="4" topLeftCell="D40" activePane="bottomRight" state="frozen"/>
      <selection pane="bottomRight" activeCell="A4" sqref="A4:A48"/>
      <selection pane="bottomLeft" activeCell="A5" sqref="A5"/>
      <selection pane="topRight" activeCell="D1" sqref="D1"/>
    </sheetView>
  </sheetViews>
  <sheetFormatPr defaultColWidth="9.140625" defaultRowHeight="12.75"/>
  <cols>
    <col min="1" max="1" width="3.140625" style="94" customWidth="1"/>
    <col min="2" max="2" width="3.28515625" style="94" hidden="1" customWidth="1"/>
    <col min="3" max="3" width="13.140625" style="94" customWidth="1"/>
    <col min="4" max="4" width="10" style="94" customWidth="1"/>
    <col min="5" max="5" width="9.5703125" style="94" bestFit="1" customWidth="1"/>
    <col min="6" max="6" width="11.42578125" style="94" customWidth="1"/>
    <col min="7" max="7" width="9.140625" style="94"/>
    <col min="8" max="8" width="11.85546875" style="94" hidden="1" customWidth="1"/>
    <col min="9" max="9" width="10.85546875" style="94" customWidth="1"/>
    <col min="10" max="10" width="9.7109375" style="94" hidden="1" customWidth="1"/>
    <col min="11" max="11" width="10.28515625" style="94" bestFit="1" customWidth="1"/>
    <col min="12" max="12" width="12.140625" style="10" bestFit="1" customWidth="1"/>
    <col min="13" max="13" width="11.42578125" style="94" customWidth="1"/>
    <col min="14" max="14" width="13.7109375" style="94" customWidth="1"/>
    <col min="15" max="15" width="11.5703125" style="94" bestFit="1" customWidth="1"/>
    <col min="16" max="16" width="10.28515625" style="94" bestFit="1" customWidth="1"/>
    <col min="17" max="17" width="2.42578125" style="94" customWidth="1"/>
    <col min="18" max="18" width="3.140625" style="10" hidden="1" customWidth="1"/>
    <col min="19" max="19" width="11.85546875" style="94" customWidth="1"/>
    <col min="20" max="20" width="9.5703125" style="94" customWidth="1"/>
    <col min="21" max="21" width="12.140625" style="94" bestFit="1" customWidth="1"/>
    <col min="22" max="22" width="11.28515625" style="94" customWidth="1"/>
    <col min="23" max="23" width="9.7109375" style="94" bestFit="1" customWidth="1"/>
    <col min="24" max="24" width="12.140625" style="10" hidden="1" customWidth="1"/>
    <col min="25" max="25" width="9.140625" style="94"/>
    <col min="26" max="26" width="9.7109375" style="94" hidden="1" customWidth="1"/>
    <col min="27" max="27" width="11.5703125" style="94" bestFit="1" customWidth="1"/>
    <col min="28" max="28" width="11.85546875" style="94" customWidth="1"/>
    <col min="29" max="29" width="11.28515625" style="94" bestFit="1" customWidth="1"/>
    <col min="30" max="30" width="13.42578125" style="10" customWidth="1"/>
    <col min="31" max="31" width="10" style="94" customWidth="1"/>
    <col min="32" max="32" width="14.140625" style="94" customWidth="1"/>
    <col min="33" max="33" width="2.42578125" style="94" customWidth="1"/>
    <col min="34" max="34" width="3.42578125" style="94" hidden="1" customWidth="1"/>
    <col min="35" max="35" width="9" style="94" customWidth="1"/>
    <col min="36" max="36" width="12.140625" style="10" bestFit="1" customWidth="1"/>
    <col min="37" max="37" width="10" style="94" customWidth="1"/>
    <col min="38" max="38" width="10.7109375" style="94" customWidth="1"/>
    <col min="39" max="39" width="11.5703125" style="94" bestFit="1" customWidth="1"/>
    <col min="40" max="40" width="9.7109375" style="94" hidden="1" customWidth="1"/>
    <col min="41" max="41" width="10.140625" style="94" customWidth="1"/>
    <col min="42" max="42" width="12.140625" style="10" hidden="1" customWidth="1"/>
    <col min="43" max="43" width="9.42578125" style="94" bestFit="1" customWidth="1"/>
    <col min="44" max="44" width="11.5703125" style="94" customWidth="1"/>
    <col min="45" max="45" width="12" style="94" bestFit="1" customWidth="1"/>
    <col min="46" max="46" width="13.42578125" style="94" customWidth="1"/>
    <col min="47" max="47" width="10" style="94" bestFit="1" customWidth="1"/>
    <col min="48" max="48" width="12.140625" style="10" bestFit="1" customWidth="1"/>
    <col min="49" max="49" width="2.28515625" style="94" customWidth="1"/>
    <col min="50" max="50" width="3.85546875" style="94" hidden="1" customWidth="1"/>
    <col min="51" max="51" width="12" style="94" customWidth="1"/>
    <col min="52" max="52" width="9.7109375" style="94" bestFit="1" customWidth="1"/>
    <col min="53" max="53" width="9.42578125" style="94" bestFit="1" customWidth="1"/>
    <col min="54" max="54" width="10.42578125" style="10" customWidth="1"/>
    <col min="55" max="55" width="9.28515625" style="94" bestFit="1" customWidth="1"/>
    <col min="56" max="56" width="9.85546875" style="94" hidden="1" customWidth="1"/>
    <col min="57" max="57" width="10.28515625" style="94" customWidth="1"/>
    <col min="58" max="58" width="9.7109375" style="94" bestFit="1" customWidth="1"/>
    <col min="59" max="59" width="12.140625" style="94" customWidth="1"/>
    <col min="60" max="60" width="11.42578125" style="10" customWidth="1"/>
    <col min="61" max="61" width="13.28515625" style="94" customWidth="1"/>
    <col min="62" max="62" width="11.140625" style="94" customWidth="1"/>
    <col min="63" max="63" width="12.140625" style="94" customWidth="1"/>
    <col min="64" max="64" width="2.85546875" style="94" customWidth="1"/>
    <col min="65" max="65" width="3.42578125" style="94" hidden="1" customWidth="1"/>
    <col min="66" max="66" width="9.140625" style="10"/>
    <col min="67" max="67" width="10.28515625" style="94" bestFit="1" customWidth="1"/>
    <col min="68" max="68" width="9.140625" style="94"/>
    <col min="69" max="69" width="11.140625" style="94" customWidth="1"/>
    <col min="70" max="70" width="9.140625" style="94"/>
    <col min="71" max="71" width="0" style="94" hidden="1" customWidth="1"/>
    <col min="72" max="72" width="12.140625" style="10" bestFit="1" customWidth="1"/>
    <col min="73" max="73" width="9.140625" style="94"/>
    <col min="74" max="74" width="11.140625" style="94" customWidth="1"/>
    <col min="75" max="75" width="13" style="94" customWidth="1"/>
    <col min="76" max="76" width="13.7109375" style="94" customWidth="1"/>
    <col min="77" max="77" width="12" style="94" bestFit="1" customWidth="1"/>
    <col min="78" max="78" width="10.28515625" style="10" customWidth="1"/>
    <col min="79" max="79" width="2.7109375" style="94" customWidth="1"/>
    <col min="80" max="80" width="2.7109375" style="94" hidden="1" customWidth="1"/>
    <col min="81" max="81" width="9.140625" style="94"/>
    <col min="82" max="82" width="10.7109375" style="94" customWidth="1"/>
    <col min="83" max="83" width="9.140625" style="94"/>
    <col min="84" max="84" width="12" style="10" customWidth="1"/>
    <col min="85" max="85" width="10" style="10" bestFit="1" customWidth="1"/>
    <col min="86" max="86" width="9.85546875" style="10" hidden="1" customWidth="1"/>
    <col min="87" max="88" width="9.140625" style="94"/>
    <col min="89" max="89" width="11.28515625" style="94" customWidth="1"/>
    <col min="90" max="90" width="12.42578125" style="94" customWidth="1"/>
    <col min="91" max="91" width="13.42578125" style="94" customWidth="1"/>
    <col min="92" max="92" width="10.42578125" style="10" customWidth="1"/>
    <col min="93" max="93" width="10.85546875" style="94" customWidth="1"/>
    <col min="94" max="94" width="2.28515625" style="94" customWidth="1"/>
    <col min="95" max="95" width="2.42578125" style="94" hidden="1" customWidth="1"/>
    <col min="96" max="96" width="9.85546875" style="94" customWidth="1"/>
    <col min="97" max="97" width="10.28515625" style="94" bestFit="1" customWidth="1"/>
    <col min="98" max="98" width="9.140625" style="10"/>
    <col min="99" max="99" width="11.28515625" style="94" customWidth="1"/>
    <col min="100" max="100" width="9.140625" style="94"/>
    <col min="101" max="101" width="0" style="94" hidden="1" customWidth="1"/>
    <col min="102" max="103" width="9.140625" style="94"/>
    <col min="104" max="104" width="11.85546875" style="10" customWidth="1"/>
    <col min="105" max="105" width="11.28515625" style="94" customWidth="1"/>
    <col min="106" max="106" width="14.28515625" style="94" customWidth="1"/>
    <col min="107" max="107" width="11.42578125" style="94" bestFit="1" customWidth="1"/>
    <col min="108" max="108" width="12.42578125" style="94" customWidth="1"/>
    <col min="109" max="109" width="2.85546875" style="94" customWidth="1"/>
    <col min="110" max="110" width="2.5703125" style="94" hidden="1" customWidth="1"/>
    <col min="111" max="111" width="9.140625" style="94"/>
    <col min="112" max="112" width="10.28515625" style="94" bestFit="1" customWidth="1"/>
    <col min="113" max="113" width="9.140625" style="94"/>
    <col min="114" max="114" width="11" style="94" customWidth="1"/>
    <col min="115" max="115" width="9.140625" style="94"/>
    <col min="116" max="116" width="0" style="94" hidden="1" customWidth="1"/>
    <col min="117" max="118" width="9.140625" style="94"/>
    <col min="119" max="119" width="11.85546875" style="94" customWidth="1"/>
    <col min="120" max="120" width="11.28515625" style="94" customWidth="1"/>
    <col min="121" max="121" width="13.7109375" style="94" customWidth="1"/>
    <col min="122" max="122" width="10.140625" style="94" customWidth="1"/>
    <col min="123" max="123" width="10.28515625" style="94" customWidth="1"/>
    <col min="124" max="124" width="3" style="94" customWidth="1"/>
    <col min="125" max="125" width="2.140625" style="94" hidden="1" customWidth="1"/>
    <col min="126" max="126" width="12.42578125" style="94" customWidth="1"/>
    <col min="127" max="127" width="10.28515625" style="94" bestFit="1" customWidth="1"/>
    <col min="128" max="128" width="9.140625" style="94"/>
    <col min="129" max="129" width="10.7109375" style="94" customWidth="1"/>
    <col min="130" max="130" width="9.140625" style="94"/>
    <col min="131" max="131" width="0" style="94" hidden="1" customWidth="1"/>
    <col min="132" max="133" width="9.140625" style="94"/>
    <col min="134" max="134" width="10.42578125" style="94" customWidth="1"/>
    <col min="135" max="135" width="12" style="94" customWidth="1"/>
    <col min="136" max="136" width="14" style="94" customWidth="1"/>
    <col min="137" max="138" width="9.140625" style="94"/>
    <col min="139" max="139" width="2.85546875" style="94" customWidth="1"/>
    <col min="140" max="140" width="2.42578125" style="94" hidden="1" customWidth="1"/>
    <col min="141" max="141" width="10.7109375" style="94" customWidth="1"/>
    <col min="142" max="142" width="10.28515625" style="94" bestFit="1" customWidth="1"/>
    <col min="143" max="143" width="9.140625" style="94"/>
    <col min="144" max="144" width="11.5703125" style="94" customWidth="1"/>
    <col min="145" max="145" width="9.140625" style="94"/>
    <col min="146" max="146" width="0" style="94" hidden="1" customWidth="1"/>
    <col min="147" max="147" width="9.7109375" style="94" bestFit="1" customWidth="1"/>
    <col min="148" max="148" width="9.140625" style="94"/>
    <col min="149" max="149" width="11.140625" style="94" customWidth="1"/>
    <col min="150" max="150" width="11.28515625" style="94" customWidth="1"/>
    <col min="151" max="151" width="13.42578125" style="94" customWidth="1"/>
    <col min="152" max="152" width="10.42578125" style="94" customWidth="1"/>
    <col min="153" max="153" width="9.85546875" style="94" bestFit="1" customWidth="1"/>
    <col min="154" max="154" width="2.7109375" style="94" customWidth="1"/>
    <col min="155" max="155" width="3" style="94" hidden="1" customWidth="1"/>
    <col min="156" max="156" width="12.85546875" style="94" customWidth="1"/>
    <col min="157" max="157" width="9.7109375" style="94" bestFit="1" customWidth="1"/>
    <col min="158" max="158" width="9.140625" style="94"/>
    <col min="159" max="159" width="10.42578125" style="94" customWidth="1"/>
    <col min="160" max="160" width="9.140625" style="94"/>
    <col min="161" max="161" width="0" style="94" hidden="1" customWidth="1"/>
    <col min="162" max="162" width="9.7109375" style="94" bestFit="1" customWidth="1"/>
    <col min="163" max="164" width="9.140625" style="94"/>
    <col min="165" max="165" width="11.28515625" style="94" customWidth="1"/>
    <col min="166" max="166" width="12.7109375" style="94" customWidth="1"/>
    <col min="167" max="167" width="9.140625" style="94"/>
    <col min="168" max="168" width="10.5703125" style="94" customWidth="1"/>
    <col min="169" max="169" width="2.5703125" style="94" customWidth="1"/>
    <col min="170" max="170" width="2.42578125" style="94" hidden="1" customWidth="1"/>
    <col min="171" max="171" width="9.140625" style="94"/>
    <col min="172" max="172" width="9.7109375" style="94" bestFit="1" customWidth="1"/>
    <col min="173" max="173" width="9.140625" style="94"/>
    <col min="174" max="174" width="12" style="94" customWidth="1"/>
    <col min="175" max="176" width="9.140625" style="94"/>
    <col min="177" max="177" width="9.7109375" style="94" bestFit="1" customWidth="1"/>
    <col min="178" max="178" width="9.140625" style="94"/>
    <col min="179" max="179" width="11.42578125" style="94" customWidth="1"/>
    <col min="180" max="180" width="11" style="94" customWidth="1"/>
    <col min="181" max="181" width="14.7109375" style="94" customWidth="1"/>
    <col min="182" max="182" width="9.85546875" style="94" customWidth="1"/>
    <col min="183" max="183" width="11.85546875" style="94" customWidth="1"/>
    <col min="184" max="16384" width="9.140625" style="94"/>
  </cols>
  <sheetData>
    <row r="2" spans="1:183" ht="13.5" thickBot="1">
      <c r="A2" s="430"/>
      <c r="B2" s="430"/>
      <c r="C2" s="65"/>
      <c r="D2" s="430"/>
      <c r="E2" s="430"/>
      <c r="F2" s="430"/>
      <c r="G2" s="430"/>
      <c r="H2" s="430"/>
      <c r="I2" s="430"/>
      <c r="J2" s="430"/>
      <c r="K2" s="430"/>
      <c r="L2" s="876"/>
      <c r="M2" s="430"/>
      <c r="N2" s="430"/>
      <c r="O2" s="430"/>
      <c r="P2" s="430"/>
      <c r="Q2" s="430"/>
      <c r="R2" s="876"/>
      <c r="S2" s="430"/>
      <c r="T2" s="430"/>
      <c r="U2" s="430"/>
      <c r="V2" s="430"/>
      <c r="W2" s="430"/>
      <c r="X2" s="876"/>
      <c r="Y2" s="430"/>
      <c r="Z2" s="430"/>
      <c r="AA2" s="430"/>
      <c r="AB2" s="430"/>
      <c r="AC2" s="430"/>
      <c r="AD2" s="876"/>
      <c r="AE2" s="430"/>
      <c r="AF2" s="430"/>
      <c r="AG2" s="430"/>
      <c r="AH2" s="430"/>
      <c r="AI2" s="430"/>
      <c r="AJ2" s="876"/>
      <c r="AK2" s="430"/>
      <c r="AL2" s="430"/>
      <c r="AM2" s="430"/>
      <c r="AN2" s="430"/>
      <c r="AO2" s="430"/>
      <c r="AP2" s="876"/>
      <c r="AQ2" s="430"/>
      <c r="AR2" s="430"/>
      <c r="AS2" s="430"/>
      <c r="AT2" s="430"/>
      <c r="AU2" s="430"/>
      <c r="AV2" s="876"/>
      <c r="AW2" s="430"/>
      <c r="AX2" s="430"/>
      <c r="AY2" s="430"/>
      <c r="AZ2" s="430"/>
      <c r="BA2" s="430"/>
      <c r="BB2" s="876"/>
      <c r="BC2" s="430"/>
      <c r="BD2" s="430"/>
      <c r="BE2" s="430"/>
      <c r="BF2" s="430"/>
      <c r="BG2" s="430"/>
      <c r="BH2" s="876"/>
      <c r="BI2" s="430"/>
      <c r="BJ2" s="430"/>
      <c r="BK2" s="430"/>
      <c r="BL2" s="430"/>
      <c r="BM2" s="430"/>
      <c r="BN2" s="876"/>
      <c r="BO2" s="430"/>
      <c r="BP2" s="430"/>
      <c r="BQ2" s="430"/>
      <c r="BR2" s="430"/>
      <c r="BS2" s="430"/>
      <c r="BT2" s="876"/>
      <c r="BU2" s="430"/>
      <c r="BV2" s="430"/>
      <c r="BW2" s="430"/>
      <c r="BX2" s="430"/>
      <c r="BY2" s="430"/>
      <c r="BZ2" s="876"/>
      <c r="CA2" s="430"/>
      <c r="CB2" s="430"/>
      <c r="CC2" s="430"/>
      <c r="CD2" s="430"/>
      <c r="CE2" s="430"/>
      <c r="CF2" s="876"/>
      <c r="CG2" s="876"/>
      <c r="CH2" s="876"/>
      <c r="CI2" s="430"/>
      <c r="CJ2" s="430"/>
      <c r="CK2" s="430"/>
      <c r="CL2" s="430"/>
      <c r="CM2" s="430"/>
      <c r="CN2" s="876"/>
      <c r="CO2" s="430"/>
      <c r="CP2" s="430"/>
      <c r="CQ2" s="430"/>
      <c r="CR2" s="430"/>
      <c r="CS2" s="430"/>
      <c r="CT2" s="876"/>
      <c r="CU2" s="430"/>
      <c r="CV2" s="430"/>
      <c r="CW2" s="430"/>
      <c r="CX2" s="430"/>
      <c r="CY2" s="430"/>
      <c r="CZ2" s="876"/>
      <c r="DA2" s="430"/>
      <c r="DB2" s="430"/>
      <c r="DC2" s="430"/>
      <c r="DD2" s="430"/>
      <c r="DE2" s="430"/>
      <c r="DF2" s="430"/>
      <c r="DG2" s="430"/>
      <c r="DH2" s="430"/>
      <c r="DI2" s="430"/>
      <c r="DJ2" s="430"/>
      <c r="DK2" s="430"/>
      <c r="DL2" s="430"/>
      <c r="DM2" s="430"/>
      <c r="DN2" s="430"/>
      <c r="DO2" s="430"/>
      <c r="DP2" s="430"/>
      <c r="DQ2" s="430"/>
      <c r="DR2" s="430"/>
      <c r="DS2" s="430"/>
      <c r="DT2" s="430"/>
      <c r="DU2" s="430"/>
      <c r="DV2" s="430"/>
      <c r="DW2" s="430"/>
      <c r="DX2" s="430"/>
      <c r="DY2" s="430"/>
      <c r="DZ2" s="430"/>
      <c r="EA2" s="430"/>
      <c r="EB2" s="430"/>
      <c r="EC2" s="430"/>
      <c r="ED2" s="430"/>
      <c r="EE2" s="430"/>
      <c r="EF2" s="430"/>
      <c r="EG2" s="430"/>
      <c r="EH2" s="430"/>
      <c r="EI2" s="430"/>
      <c r="EJ2" s="430"/>
      <c r="EK2" s="430"/>
      <c r="EL2" s="430"/>
      <c r="EM2" s="430"/>
      <c r="EN2" s="430"/>
      <c r="EO2" s="430"/>
      <c r="EP2" s="430"/>
      <c r="EQ2" s="430"/>
      <c r="ER2" s="430"/>
      <c r="ES2" s="430"/>
      <c r="ET2" s="430"/>
      <c r="EU2" s="430"/>
      <c r="EV2" s="430"/>
      <c r="EW2" s="430"/>
      <c r="EX2" s="430"/>
      <c r="EY2" s="430"/>
      <c r="EZ2" s="430"/>
      <c r="FA2" s="430"/>
      <c r="FB2" s="430"/>
      <c r="FC2" s="430"/>
      <c r="FD2" s="430"/>
      <c r="FE2" s="430"/>
      <c r="FF2" s="430"/>
      <c r="FG2" s="430"/>
      <c r="FH2" s="430"/>
      <c r="FI2" s="430"/>
      <c r="FJ2" s="430"/>
      <c r="FK2" s="430"/>
      <c r="FL2" s="430"/>
      <c r="FM2" s="430"/>
      <c r="FN2" s="430"/>
      <c r="FO2" s="430"/>
      <c r="FP2" s="430"/>
      <c r="FQ2" s="430"/>
      <c r="FR2" s="430"/>
      <c r="FS2" s="430"/>
      <c r="FT2" s="430"/>
      <c r="FU2" s="430"/>
      <c r="FV2" s="430"/>
      <c r="FW2" s="430"/>
      <c r="FX2" s="430"/>
      <c r="FY2" s="430"/>
      <c r="FZ2" s="430"/>
      <c r="GA2" s="430"/>
    </row>
    <row r="3" spans="1:183" ht="13.5" thickBot="1">
      <c r="A3" s="724">
        <v>37438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6"/>
      <c r="P3" s="727"/>
      <c r="Q3" s="728">
        <v>37469</v>
      </c>
      <c r="R3" s="725"/>
      <c r="S3" s="726"/>
      <c r="T3" s="726"/>
      <c r="U3" s="726"/>
      <c r="V3" s="726"/>
      <c r="W3" s="726"/>
      <c r="X3" s="726"/>
      <c r="Y3" s="726"/>
      <c r="Z3" s="726"/>
      <c r="AA3" s="726"/>
      <c r="AB3" s="726"/>
      <c r="AC3" s="726"/>
      <c r="AD3" s="726"/>
      <c r="AE3" s="726"/>
      <c r="AF3" s="727"/>
      <c r="AG3" s="735">
        <v>37500</v>
      </c>
      <c r="AH3" s="736"/>
      <c r="AI3" s="736"/>
      <c r="AJ3" s="736"/>
      <c r="AK3" s="736"/>
      <c r="AL3" s="736"/>
      <c r="AM3" s="736"/>
      <c r="AN3" s="736"/>
      <c r="AO3" s="736"/>
      <c r="AP3" s="736"/>
      <c r="AQ3" s="736"/>
      <c r="AR3" s="736"/>
      <c r="AS3" s="736"/>
      <c r="AT3" s="736"/>
      <c r="AU3" s="736"/>
      <c r="AV3" s="737"/>
      <c r="AW3" s="728">
        <v>37530</v>
      </c>
      <c r="AX3" s="726"/>
      <c r="AY3" s="726"/>
      <c r="AZ3" s="726"/>
      <c r="BA3" s="726"/>
      <c r="BB3" s="726"/>
      <c r="BC3" s="726"/>
      <c r="BD3" s="726"/>
      <c r="BE3" s="726"/>
      <c r="BF3" s="726"/>
      <c r="BG3" s="726"/>
      <c r="BH3" s="726"/>
      <c r="BI3" s="726"/>
      <c r="BJ3" s="725"/>
      <c r="BK3" s="741"/>
      <c r="BL3" s="728">
        <v>37561</v>
      </c>
      <c r="BM3" s="726"/>
      <c r="BN3" s="726"/>
      <c r="BO3" s="726"/>
      <c r="BP3" s="726"/>
      <c r="BQ3" s="726"/>
      <c r="BR3" s="726"/>
      <c r="BS3" s="726"/>
      <c r="BT3" s="726"/>
      <c r="BU3" s="726"/>
      <c r="BV3" s="726"/>
      <c r="BW3" s="726"/>
      <c r="BX3" s="726"/>
      <c r="BY3" s="726"/>
      <c r="BZ3" s="727"/>
      <c r="CA3" s="728">
        <v>37591</v>
      </c>
      <c r="CB3" s="726"/>
      <c r="CC3" s="726"/>
      <c r="CD3" s="726"/>
      <c r="CE3" s="726"/>
      <c r="CF3" s="726"/>
      <c r="CG3" s="726"/>
      <c r="CH3" s="726"/>
      <c r="CI3" s="726"/>
      <c r="CJ3" s="726"/>
      <c r="CK3" s="726"/>
      <c r="CL3" s="726"/>
      <c r="CM3" s="726"/>
      <c r="CN3" s="726"/>
      <c r="CO3" s="727"/>
      <c r="CP3" s="728">
        <v>37622</v>
      </c>
      <c r="CQ3" s="725"/>
      <c r="CR3" s="726"/>
      <c r="CS3" s="726"/>
      <c r="CT3" s="726"/>
      <c r="CU3" s="726"/>
      <c r="CV3" s="726"/>
      <c r="CW3" s="726"/>
      <c r="CX3" s="726"/>
      <c r="CY3" s="726"/>
      <c r="CZ3" s="726"/>
      <c r="DA3" s="726"/>
      <c r="DB3" s="726"/>
      <c r="DC3" s="726"/>
      <c r="DD3" s="727"/>
      <c r="DE3" s="728">
        <v>37653</v>
      </c>
      <c r="DF3" s="726"/>
      <c r="DG3" s="726"/>
      <c r="DH3" s="726"/>
      <c r="DI3" s="726"/>
      <c r="DJ3" s="726"/>
      <c r="DK3" s="726"/>
      <c r="DL3" s="726"/>
      <c r="DM3" s="726"/>
      <c r="DN3" s="726"/>
      <c r="DO3" s="726"/>
      <c r="DP3" s="726"/>
      <c r="DQ3" s="726"/>
      <c r="DR3" s="726"/>
      <c r="DS3" s="727"/>
      <c r="DT3" s="728">
        <v>37681</v>
      </c>
      <c r="DU3" s="726"/>
      <c r="DV3" s="726"/>
      <c r="DW3" s="726"/>
      <c r="DX3" s="726"/>
      <c r="DY3" s="726"/>
      <c r="DZ3" s="726"/>
      <c r="EA3" s="726"/>
      <c r="EB3" s="726"/>
      <c r="EC3" s="726"/>
      <c r="ED3" s="726"/>
      <c r="EE3" s="726"/>
      <c r="EF3" s="726"/>
      <c r="EG3" s="726"/>
      <c r="EH3" s="727"/>
      <c r="EI3" s="728">
        <v>37712</v>
      </c>
      <c r="EJ3" s="726"/>
      <c r="EK3" s="726"/>
      <c r="EL3" s="726"/>
      <c r="EM3" s="726"/>
      <c r="EN3" s="726"/>
      <c r="EO3" s="726"/>
      <c r="EP3" s="726"/>
      <c r="EQ3" s="726"/>
      <c r="ER3" s="726"/>
      <c r="ES3" s="726"/>
      <c r="ET3" s="726"/>
      <c r="EU3" s="726"/>
      <c r="EV3" s="726"/>
      <c r="EW3" s="727"/>
      <c r="EX3" s="728">
        <v>37742</v>
      </c>
      <c r="EY3" s="726"/>
      <c r="EZ3" s="726"/>
      <c r="FA3" s="726"/>
      <c r="FB3" s="726"/>
      <c r="FC3" s="726"/>
      <c r="FD3" s="726"/>
      <c r="FE3" s="726"/>
      <c r="FF3" s="726"/>
      <c r="FG3" s="726"/>
      <c r="FH3" s="726"/>
      <c r="FI3" s="726"/>
      <c r="FJ3" s="726"/>
      <c r="FK3" s="726"/>
      <c r="FL3" s="727"/>
      <c r="FM3" s="728">
        <v>37773</v>
      </c>
      <c r="FN3" s="726"/>
      <c r="FO3" s="726"/>
      <c r="FP3" s="726"/>
      <c r="FQ3" s="726"/>
      <c r="FR3" s="726"/>
      <c r="FS3" s="726"/>
      <c r="FT3" s="726"/>
      <c r="FU3" s="726"/>
      <c r="FV3" s="726"/>
      <c r="FW3" s="726"/>
      <c r="FX3" s="726"/>
      <c r="FY3" s="726"/>
      <c r="FZ3" s="726"/>
      <c r="GA3" s="727"/>
    </row>
    <row r="4" spans="1:183" ht="27.75" customHeight="1" thickBot="1">
      <c r="A4" s="877"/>
      <c r="B4" s="878"/>
      <c r="C4" s="879" t="s">
        <v>130</v>
      </c>
      <c r="D4" s="879" t="s">
        <v>131</v>
      </c>
      <c r="E4" s="879" t="s">
        <v>132</v>
      </c>
      <c r="F4" s="879" t="s">
        <v>133</v>
      </c>
      <c r="G4" s="880" t="s">
        <v>134</v>
      </c>
      <c r="H4" s="880" t="s">
        <v>135</v>
      </c>
      <c r="I4" s="95" t="s">
        <v>136</v>
      </c>
      <c r="J4" s="881" t="s">
        <v>137</v>
      </c>
      <c r="K4" s="880" t="s">
        <v>138</v>
      </c>
      <c r="L4" s="95" t="s">
        <v>139</v>
      </c>
      <c r="M4" s="879" t="s">
        <v>140</v>
      </c>
      <c r="N4" s="882" t="s">
        <v>141</v>
      </c>
      <c r="O4" s="883" t="s">
        <v>142</v>
      </c>
      <c r="P4" s="884" t="s">
        <v>143</v>
      </c>
      <c r="Q4" s="885"/>
      <c r="R4" s="885"/>
      <c r="S4" s="879" t="s">
        <v>130</v>
      </c>
      <c r="T4" s="879" t="s">
        <v>131</v>
      </c>
      <c r="U4" s="879" t="s">
        <v>132</v>
      </c>
      <c r="V4" s="879" t="s">
        <v>133</v>
      </c>
      <c r="W4" s="880" t="s">
        <v>134</v>
      </c>
      <c r="X4" s="880" t="s">
        <v>135</v>
      </c>
      <c r="Y4" s="95" t="s">
        <v>136</v>
      </c>
      <c r="Z4" s="881" t="s">
        <v>137</v>
      </c>
      <c r="AA4" s="880" t="s">
        <v>138</v>
      </c>
      <c r="AB4" s="95" t="s">
        <v>139</v>
      </c>
      <c r="AC4" s="879" t="s">
        <v>140</v>
      </c>
      <c r="AD4" s="879" t="s">
        <v>141</v>
      </c>
      <c r="AE4" s="886" t="s">
        <v>142</v>
      </c>
      <c r="AF4" s="887" t="s">
        <v>143</v>
      </c>
      <c r="AG4" s="888"/>
      <c r="AH4" s="889"/>
      <c r="AI4" s="879" t="s">
        <v>144</v>
      </c>
      <c r="AJ4" s="879" t="s">
        <v>131</v>
      </c>
      <c r="AK4" s="879" t="s">
        <v>132</v>
      </c>
      <c r="AL4" s="879" t="s">
        <v>133</v>
      </c>
      <c r="AM4" s="880" t="s">
        <v>134</v>
      </c>
      <c r="AN4" s="880" t="s">
        <v>135</v>
      </c>
      <c r="AO4" s="95" t="s">
        <v>136</v>
      </c>
      <c r="AP4" s="881" t="s">
        <v>137</v>
      </c>
      <c r="AQ4" s="880" t="s">
        <v>138</v>
      </c>
      <c r="AR4" s="95" t="s">
        <v>139</v>
      </c>
      <c r="AS4" s="879" t="s">
        <v>140</v>
      </c>
      <c r="AT4" s="879" t="s">
        <v>141</v>
      </c>
      <c r="AU4" s="886" t="s">
        <v>142</v>
      </c>
      <c r="AV4" s="887" t="s">
        <v>143</v>
      </c>
      <c r="AW4" s="890"/>
      <c r="AX4" s="890"/>
      <c r="AY4" s="891" t="s">
        <v>145</v>
      </c>
      <c r="AZ4" s="879" t="s">
        <v>131</v>
      </c>
      <c r="BA4" s="879" t="s">
        <v>132</v>
      </c>
      <c r="BB4" s="879" t="s">
        <v>133</v>
      </c>
      <c r="BC4" s="880" t="s">
        <v>134</v>
      </c>
      <c r="BD4" s="892" t="s">
        <v>135</v>
      </c>
      <c r="BE4" s="95" t="s">
        <v>136</v>
      </c>
      <c r="BF4" s="880" t="s">
        <v>138</v>
      </c>
      <c r="BG4" s="95" t="s">
        <v>139</v>
      </c>
      <c r="BH4" s="879" t="s">
        <v>140</v>
      </c>
      <c r="BI4" s="71" t="s">
        <v>141</v>
      </c>
      <c r="BJ4" s="886" t="s">
        <v>142</v>
      </c>
      <c r="BK4" s="887" t="s">
        <v>143</v>
      </c>
      <c r="BL4" s="893"/>
      <c r="BM4" s="894"/>
      <c r="BN4" s="891" t="s">
        <v>145</v>
      </c>
      <c r="BO4" s="891" t="s">
        <v>131</v>
      </c>
      <c r="BP4" s="879" t="s">
        <v>132</v>
      </c>
      <c r="BQ4" s="879" t="s">
        <v>133</v>
      </c>
      <c r="BR4" s="880" t="s">
        <v>134</v>
      </c>
      <c r="BS4" s="892" t="s">
        <v>135</v>
      </c>
      <c r="BT4" s="95" t="s">
        <v>136</v>
      </c>
      <c r="BU4" s="880" t="s">
        <v>138</v>
      </c>
      <c r="BV4" s="95" t="s">
        <v>139</v>
      </c>
      <c r="BW4" s="879" t="s">
        <v>140</v>
      </c>
      <c r="BX4" s="71" t="s">
        <v>141</v>
      </c>
      <c r="BY4" s="886" t="s">
        <v>142</v>
      </c>
      <c r="BZ4" s="887" t="s">
        <v>143</v>
      </c>
      <c r="CA4" s="895"/>
      <c r="CB4" s="896"/>
      <c r="CC4" s="891" t="s">
        <v>145</v>
      </c>
      <c r="CD4" s="891" t="s">
        <v>131</v>
      </c>
      <c r="CE4" s="879" t="s">
        <v>132</v>
      </c>
      <c r="CF4" s="879" t="s">
        <v>133</v>
      </c>
      <c r="CG4" s="880" t="s">
        <v>134</v>
      </c>
      <c r="CH4" s="892" t="s">
        <v>135</v>
      </c>
      <c r="CI4" s="95" t="s">
        <v>136</v>
      </c>
      <c r="CJ4" s="880" t="s">
        <v>138</v>
      </c>
      <c r="CK4" s="95" t="s">
        <v>139</v>
      </c>
      <c r="CL4" s="879" t="s">
        <v>140</v>
      </c>
      <c r="CM4" s="879" t="s">
        <v>141</v>
      </c>
      <c r="CN4" s="886" t="s">
        <v>142</v>
      </c>
      <c r="CO4" s="887" t="s">
        <v>143</v>
      </c>
      <c r="CP4" s="897"/>
      <c r="CQ4" s="898"/>
      <c r="CR4" s="891" t="s">
        <v>145</v>
      </c>
      <c r="CS4" s="891" t="s">
        <v>131</v>
      </c>
      <c r="CT4" s="879" t="s">
        <v>132</v>
      </c>
      <c r="CU4" s="879" t="s">
        <v>133</v>
      </c>
      <c r="CV4" s="880" t="s">
        <v>134</v>
      </c>
      <c r="CW4" s="892" t="s">
        <v>135</v>
      </c>
      <c r="CX4" s="95" t="s">
        <v>136</v>
      </c>
      <c r="CY4" s="880" t="s">
        <v>138</v>
      </c>
      <c r="CZ4" s="95" t="s">
        <v>139</v>
      </c>
      <c r="DA4" s="879" t="s">
        <v>140</v>
      </c>
      <c r="DB4" s="879" t="s">
        <v>141</v>
      </c>
      <c r="DC4" s="886" t="s">
        <v>142</v>
      </c>
      <c r="DD4" s="887" t="s">
        <v>143</v>
      </c>
      <c r="DE4" s="899"/>
      <c r="DF4" s="892"/>
      <c r="DG4" s="891" t="s">
        <v>145</v>
      </c>
      <c r="DH4" s="891" t="s">
        <v>131</v>
      </c>
      <c r="DI4" s="879" t="s">
        <v>132</v>
      </c>
      <c r="DJ4" s="879" t="s">
        <v>133</v>
      </c>
      <c r="DK4" s="880" t="s">
        <v>134</v>
      </c>
      <c r="DL4" s="892" t="s">
        <v>135</v>
      </c>
      <c r="DM4" s="95" t="s">
        <v>136</v>
      </c>
      <c r="DN4" s="880" t="s">
        <v>138</v>
      </c>
      <c r="DO4" s="95" t="s">
        <v>139</v>
      </c>
      <c r="DP4" s="879" t="s">
        <v>140</v>
      </c>
      <c r="DQ4" s="879" t="s">
        <v>141</v>
      </c>
      <c r="DR4" s="886" t="s">
        <v>142</v>
      </c>
      <c r="DS4" s="887" t="s">
        <v>143</v>
      </c>
      <c r="DT4" s="900"/>
      <c r="DU4" s="901"/>
      <c r="DV4" s="891" t="s">
        <v>145</v>
      </c>
      <c r="DW4" s="891" t="s">
        <v>131</v>
      </c>
      <c r="DX4" s="879" t="s">
        <v>132</v>
      </c>
      <c r="DY4" s="879" t="s">
        <v>133</v>
      </c>
      <c r="DZ4" s="880" t="s">
        <v>134</v>
      </c>
      <c r="EA4" s="892" t="s">
        <v>135</v>
      </c>
      <c r="EB4" s="95" t="s">
        <v>136</v>
      </c>
      <c r="EC4" s="880" t="s">
        <v>138</v>
      </c>
      <c r="ED4" s="95" t="s">
        <v>139</v>
      </c>
      <c r="EE4" s="879" t="s">
        <v>140</v>
      </c>
      <c r="EF4" s="879" t="s">
        <v>141</v>
      </c>
      <c r="EG4" s="886" t="s">
        <v>142</v>
      </c>
      <c r="EH4" s="887" t="s">
        <v>143</v>
      </c>
      <c r="EI4" s="902"/>
      <c r="EJ4" s="902"/>
      <c r="EK4" s="891" t="s">
        <v>145</v>
      </c>
      <c r="EL4" s="891" t="s">
        <v>131</v>
      </c>
      <c r="EM4" s="879" t="s">
        <v>132</v>
      </c>
      <c r="EN4" s="879" t="s">
        <v>133</v>
      </c>
      <c r="EO4" s="880" t="s">
        <v>134</v>
      </c>
      <c r="EP4" s="892" t="s">
        <v>135</v>
      </c>
      <c r="EQ4" s="95" t="s">
        <v>136</v>
      </c>
      <c r="ER4" s="880" t="s">
        <v>138</v>
      </c>
      <c r="ES4" s="95" t="s">
        <v>139</v>
      </c>
      <c r="ET4" s="879" t="s">
        <v>140</v>
      </c>
      <c r="EU4" s="879" t="s">
        <v>141</v>
      </c>
      <c r="EV4" s="886" t="s">
        <v>142</v>
      </c>
      <c r="EW4" s="887" t="s">
        <v>143</v>
      </c>
      <c r="EX4" s="903"/>
      <c r="EY4" s="904"/>
      <c r="EZ4" s="891" t="s">
        <v>145</v>
      </c>
      <c r="FA4" s="891" t="s">
        <v>131</v>
      </c>
      <c r="FB4" s="879" t="s">
        <v>132</v>
      </c>
      <c r="FC4" s="879" t="s">
        <v>133</v>
      </c>
      <c r="FD4" s="880" t="s">
        <v>134</v>
      </c>
      <c r="FE4" s="892" t="s">
        <v>135</v>
      </c>
      <c r="FF4" s="95" t="s">
        <v>136</v>
      </c>
      <c r="FG4" s="880" t="s">
        <v>138</v>
      </c>
      <c r="FH4" s="95" t="s">
        <v>139</v>
      </c>
      <c r="FI4" s="879" t="s">
        <v>140</v>
      </c>
      <c r="FJ4" s="879" t="s">
        <v>141</v>
      </c>
      <c r="FK4" s="886" t="s">
        <v>142</v>
      </c>
      <c r="FL4" s="887" t="s">
        <v>143</v>
      </c>
      <c r="FM4" s="905"/>
      <c r="FN4" s="905"/>
      <c r="FO4" s="891" t="s">
        <v>145</v>
      </c>
      <c r="FP4" s="891" t="s">
        <v>131</v>
      </c>
      <c r="FQ4" s="879" t="s">
        <v>132</v>
      </c>
      <c r="FR4" s="879" t="s">
        <v>133</v>
      </c>
      <c r="FS4" s="880" t="s">
        <v>134</v>
      </c>
      <c r="FT4" s="892" t="s">
        <v>135</v>
      </c>
      <c r="FU4" s="95" t="s">
        <v>136</v>
      </c>
      <c r="FV4" s="880" t="s">
        <v>138</v>
      </c>
      <c r="FW4" s="95" t="s">
        <v>139</v>
      </c>
      <c r="FX4" s="879" t="s">
        <v>140</v>
      </c>
      <c r="FY4" s="879" t="s">
        <v>141</v>
      </c>
      <c r="FZ4" s="886" t="s">
        <v>142</v>
      </c>
      <c r="GA4" s="887" t="s">
        <v>143</v>
      </c>
    </row>
    <row r="5" spans="1:183">
      <c r="A5" s="906"/>
      <c r="B5" s="907"/>
      <c r="C5" s="3" t="s">
        <v>146</v>
      </c>
      <c r="D5" s="96">
        <f>SUM(D6:D7)</f>
        <v>103250.98333333331</v>
      </c>
      <c r="E5" s="96">
        <f>SUM(E6:E7)</f>
        <v>350.73333333333335</v>
      </c>
      <c r="F5" s="97">
        <f>SUM(F6:F7)</f>
        <v>888.3</v>
      </c>
      <c r="G5" s="96">
        <f>SUM(G6:G7)</f>
        <v>941</v>
      </c>
      <c r="H5" s="1"/>
      <c r="I5" s="98">
        <f>SUM(I6:I7)</f>
        <v>103549.01666666666</v>
      </c>
      <c r="J5" s="908">
        <f>SUM(J6:J7)</f>
        <v>103398</v>
      </c>
      <c r="K5" s="99">
        <f>(G5-H5)/(D5+E5+F5)</f>
        <v>9.0056450369022517E-3</v>
      </c>
      <c r="L5" s="33">
        <f>1-((G5-H5)/(D5+E5+F5))</f>
        <v>0.99099435496309773</v>
      </c>
      <c r="M5" s="96">
        <f>SUM(M6:M7)</f>
        <v>104815</v>
      </c>
      <c r="N5" s="1">
        <v>848</v>
      </c>
      <c r="O5" s="85">
        <f t="shared" ref="O5:O26" si="0">M5-I5</f>
        <v>1265.9833333333372</v>
      </c>
      <c r="P5" s="86">
        <f>M5+N5-I5</f>
        <v>2113.9833333333372</v>
      </c>
      <c r="Q5" s="909"/>
      <c r="R5" s="910"/>
      <c r="S5" s="3" t="s">
        <v>146</v>
      </c>
      <c r="T5" s="96">
        <f>SUM(T6:T7)</f>
        <v>103693.56666666665</v>
      </c>
      <c r="U5" s="96">
        <f>SUM(U6:U7)</f>
        <v>353.81666666666672</v>
      </c>
      <c r="V5" s="97">
        <f>SUM(V6:V7)</f>
        <v>944.3</v>
      </c>
      <c r="W5" s="96">
        <f>SUM(W6:W7)</f>
        <v>939</v>
      </c>
      <c r="X5" s="1"/>
      <c r="Y5" s="98">
        <f>SUM(Y6:Y7)</f>
        <v>104052.68333333332</v>
      </c>
      <c r="Z5" s="100">
        <f>SUM(Z6:Z7)</f>
        <v>104048</v>
      </c>
      <c r="AA5" s="99">
        <f t="shared" ref="AA5:AA26" si="1">(W5-X5)/(T5+U5+V5)</f>
        <v>8.9435655300316649E-3</v>
      </c>
      <c r="AB5" s="33">
        <f>1-(W5/(T5+U5+V5))</f>
        <v>0.99105643446996838</v>
      </c>
      <c r="AC5" s="96">
        <f>SUM(AC6:AC7)</f>
        <v>105261</v>
      </c>
      <c r="AD5" s="1">
        <v>848</v>
      </c>
      <c r="AE5" s="4">
        <f t="shared" ref="AE5:AE26" si="2">AC5-Y5</f>
        <v>1208.3166666666802</v>
      </c>
      <c r="AF5" s="5">
        <f>AC5+AD5-Y5</f>
        <v>2056.3166666666802</v>
      </c>
      <c r="AG5" s="911"/>
      <c r="AH5" s="912"/>
      <c r="AI5" s="3" t="s">
        <v>146</v>
      </c>
      <c r="AJ5" s="101">
        <f>SUM(AJ6:AJ7)</f>
        <v>97829.833333333299</v>
      </c>
      <c r="AK5" s="101">
        <f>SUM(AK6:AK7)</f>
        <v>84.583333333333343</v>
      </c>
      <c r="AL5" s="102">
        <f>SUM(AL6:AL7)</f>
        <v>503.7</v>
      </c>
      <c r="AM5" s="101">
        <f>SUM(AM6:AM7)</f>
        <v>901</v>
      </c>
      <c r="AN5" s="1"/>
      <c r="AO5" s="98">
        <f>SUM(AO6:AO7)</f>
        <v>97517.11666666664</v>
      </c>
      <c r="AP5" s="103">
        <f>SUM(AP6:AP7)</f>
        <v>0</v>
      </c>
      <c r="AQ5" s="99">
        <f t="shared" ref="AQ5:AQ26" si="3">(AM5-AN5)/(AJ5+AK5+AL5)</f>
        <v>9.154818548820708E-3</v>
      </c>
      <c r="AR5" s="33">
        <f t="shared" ref="AR5:AR26" si="4">1-((AM5-AN5)/(AJ5+AK5+AL5))</f>
        <v>0.99084518145117928</v>
      </c>
      <c r="AS5" s="96">
        <f>SUM(AS6:AS7)</f>
        <v>98988</v>
      </c>
      <c r="AT5" s="1">
        <v>848</v>
      </c>
      <c r="AU5" s="4">
        <f t="shared" ref="AU5:AU26" si="5">AS5-AO5</f>
        <v>1470.8833333333605</v>
      </c>
      <c r="AV5" s="5">
        <f>AS5+AT5-AO5</f>
        <v>2318.8833333333605</v>
      </c>
      <c r="AW5" s="913"/>
      <c r="AX5" s="913"/>
      <c r="AY5" s="3" t="s">
        <v>146</v>
      </c>
      <c r="AZ5" s="101">
        <f>SUM(AZ6:AZ7)</f>
        <v>105541.03333333331</v>
      </c>
      <c r="BA5" s="101">
        <f>SUM(BA6:BA7)</f>
        <v>174.58333333333337</v>
      </c>
      <c r="BB5" s="102">
        <f>SUM(BB6:BB7)</f>
        <v>25</v>
      </c>
      <c r="BC5" s="101">
        <f>SUM(BC6:BC7)</f>
        <v>993</v>
      </c>
      <c r="BD5" s="1"/>
      <c r="BE5" s="98">
        <f>SUM(BE6:BE7)</f>
        <v>104747.61666666664</v>
      </c>
      <c r="BF5" s="99">
        <f t="shared" ref="BF5:BF26" si="6">(BC5-BD5)/(AZ5+BA5+BB5)</f>
        <v>9.3909041889768969E-3</v>
      </c>
      <c r="BG5" s="33">
        <f t="shared" ref="BG5:BG26" si="7">1-((BC5-BD5)/(AZ5+BA5+BB5))</f>
        <v>0.99060909581102308</v>
      </c>
      <c r="BH5" s="96">
        <f>SUM(BH6:BH7)</f>
        <v>106313</v>
      </c>
      <c r="BI5" s="1">
        <v>848</v>
      </c>
      <c r="BJ5" s="45">
        <f t="shared" ref="BJ5:BJ26" si="8">BH5-BE5</f>
        <v>1565.3833333333605</v>
      </c>
      <c r="BK5" s="5">
        <f>BH5+BI5-BE5</f>
        <v>2413.3833333333605</v>
      </c>
      <c r="BL5" s="914"/>
      <c r="BM5" s="876">
        <v>1</v>
      </c>
      <c r="BN5" s="3" t="s">
        <v>146</v>
      </c>
      <c r="BO5" s="101">
        <f>SUM(BO6:BO7)</f>
        <v>98252.516666666663</v>
      </c>
      <c r="BP5" s="101">
        <f>SUM(BP6:BP7)</f>
        <v>0</v>
      </c>
      <c r="BQ5" s="102">
        <f>SUM(BQ6:BQ7)</f>
        <v>0</v>
      </c>
      <c r="BR5" s="101">
        <f>SUM(BR6:BR7)</f>
        <v>0</v>
      </c>
      <c r="BS5" s="1"/>
      <c r="BT5" s="98">
        <f>SUM(BT6:BT7)</f>
        <v>98252.516666666663</v>
      </c>
      <c r="BU5" s="99">
        <f t="shared" ref="BU5:BU26" si="9">(BR5-BS5)/(BO5+BP5+BQ5)</f>
        <v>0</v>
      </c>
      <c r="BV5" s="33">
        <f t="shared" ref="BV5:BV26" si="10">1-((BR5-BS5)/(BO5+BP5+BQ5))</f>
        <v>1</v>
      </c>
      <c r="BW5" s="101">
        <f>SUM(BW6:BW7)</f>
        <v>98983.666666666672</v>
      </c>
      <c r="BX5" s="1">
        <v>848</v>
      </c>
      <c r="BY5" s="46">
        <f t="shared" ref="BY5:BY26" si="11">BW5-BT5</f>
        <v>731.15000000000873</v>
      </c>
      <c r="BZ5" s="5">
        <f>BW5+BX5-BT5</f>
        <v>1579.1500000000087</v>
      </c>
      <c r="CA5" s="915"/>
      <c r="CB5" s="916"/>
      <c r="CC5" s="3" t="s">
        <v>146</v>
      </c>
      <c r="CD5" s="47">
        <f>SUM(CD6:CD7)</f>
        <v>101603.1333333333</v>
      </c>
      <c r="CE5" s="101">
        <f>SUM(CE6:CE7)</f>
        <v>0</v>
      </c>
      <c r="CF5" s="102">
        <f>SUM(CF6:CF7)</f>
        <v>0</v>
      </c>
      <c r="CG5" s="101">
        <f>SUM(CG6:CG7)</f>
        <v>0</v>
      </c>
      <c r="CH5" s="1"/>
      <c r="CI5" s="98">
        <f>SUM(CI6:CI7)</f>
        <v>101603.1333333333</v>
      </c>
      <c r="CJ5" s="99">
        <f t="shared" ref="CJ5:CJ26" si="12">(CG5-CH5)/(CD5+CE5+CF5)</f>
        <v>0</v>
      </c>
      <c r="CK5" s="33">
        <f t="shared" ref="CK5:CK26" si="13">1-((CG5-CH5)/(CD5+CE5+CF5))</f>
        <v>1</v>
      </c>
      <c r="CL5" s="101">
        <f>SUM(CL6:CL7)</f>
        <v>102412.85</v>
      </c>
      <c r="CM5" s="104">
        <v>848</v>
      </c>
      <c r="CN5" s="917">
        <f t="shared" ref="CN5:CN26" si="14">CL5-CI5</f>
        <v>809.71666666670353</v>
      </c>
      <c r="CO5" s="918">
        <f>CL5+CM5-CI5</f>
        <v>1657.7166666667035</v>
      </c>
      <c r="CP5" s="919"/>
      <c r="CQ5" s="912"/>
      <c r="CR5" s="3" t="s">
        <v>146</v>
      </c>
      <c r="CS5" s="47">
        <f>SUM(CS6:CS7)</f>
        <v>103503.8833333333</v>
      </c>
      <c r="CT5" s="101">
        <f>SUM(CT6:CT7)</f>
        <v>0</v>
      </c>
      <c r="CU5" s="102">
        <f>SUM(CU6:CU7)</f>
        <v>0</v>
      </c>
      <c r="CV5" s="101">
        <f>SUM(CV6:CV7)</f>
        <v>0</v>
      </c>
      <c r="CW5" s="1"/>
      <c r="CX5" s="105">
        <f>SUM(CX6:CX7)</f>
        <v>103503.8833333333</v>
      </c>
      <c r="CY5" s="99">
        <f t="shared" ref="CY5:CY26" si="15">(CV5-CW5)/(CS5+CT5+CU5)</f>
        <v>0</v>
      </c>
      <c r="CZ5" s="33">
        <f t="shared" ref="CZ5:CZ26" si="16">1-((CV5-CW5)/(CS5+CT5+CU5))</f>
        <v>1</v>
      </c>
      <c r="DA5" s="101">
        <f>SUM(DA6:DA7)</f>
        <v>104363.03333333334</v>
      </c>
      <c r="DB5" s="1">
        <v>848</v>
      </c>
      <c r="DC5" s="48">
        <f t="shared" ref="DC5:DC26" si="17">DA5-CX5</f>
        <v>859.15000000003783</v>
      </c>
      <c r="DD5" s="29">
        <f>DA5+DB5-CX5</f>
        <v>1707.1500000000378</v>
      </c>
      <c r="DE5" s="920"/>
      <c r="DF5" s="912"/>
      <c r="DG5" s="3" t="s">
        <v>146</v>
      </c>
      <c r="DH5" s="47">
        <f>SUM(DH6:DH7)</f>
        <v>93980.533333333296</v>
      </c>
      <c r="DI5" s="101">
        <f>SUM(DI6:DI7)</f>
        <v>0</v>
      </c>
      <c r="DJ5" s="102">
        <f>SUM(DJ6:DJ7)</f>
        <v>0</v>
      </c>
      <c r="DK5" s="101">
        <f>SUM(DK6:DK7)</f>
        <v>0</v>
      </c>
      <c r="DL5" s="1"/>
      <c r="DM5" s="105">
        <f>SUM(DM6:DM7)</f>
        <v>93980.533333333296</v>
      </c>
      <c r="DN5" s="99">
        <f t="shared" ref="DN5:DN26" si="18">(DK5-DL5)/(DH5+DI5+DJ5)</f>
        <v>0</v>
      </c>
      <c r="DO5" s="33">
        <f t="shared" ref="DO5:DO26" si="19">1-((DK5-DL5)/(DH5+DI5+DJ5))</f>
        <v>1</v>
      </c>
      <c r="DP5" s="101">
        <f>SUM(DP6:DP7)</f>
        <v>96612.666666666686</v>
      </c>
      <c r="DQ5" s="1">
        <v>848</v>
      </c>
      <c r="DR5" s="48">
        <f t="shared" ref="DR5:DR26" si="20">DP5-DM5</f>
        <v>2632.1333333333896</v>
      </c>
      <c r="DS5" s="29">
        <f>DP5+DQ5-DM5</f>
        <v>3480.1333333333896</v>
      </c>
      <c r="DT5" s="921"/>
      <c r="DU5" s="922"/>
      <c r="DV5" s="3" t="s">
        <v>146</v>
      </c>
      <c r="DW5" s="47">
        <f>SUM(DW6:DW7)</f>
        <v>102061.81666666667</v>
      </c>
      <c r="DX5" s="101">
        <f>SUM(DX6:DX7)</f>
        <v>0</v>
      </c>
      <c r="DY5" s="102">
        <f>SUM(DY6:DY7)</f>
        <v>0</v>
      </c>
      <c r="DZ5" s="101">
        <f>SUM(DZ6:DZ7)</f>
        <v>0</v>
      </c>
      <c r="EA5" s="1"/>
      <c r="EB5" s="105">
        <f>SUM(EB6:EB7)</f>
        <v>102061.81666666667</v>
      </c>
      <c r="EC5" s="99">
        <f t="shared" ref="EC5:EC26" si="21">(DZ5-EA5)/(DW5+DX5+DY5)</f>
        <v>0</v>
      </c>
      <c r="ED5" s="33">
        <f t="shared" ref="ED5:ED26" si="22">1-((DZ5-EA5)/(DW5+DX5+DY5))</f>
        <v>1</v>
      </c>
      <c r="EE5" s="101">
        <f>SUM(EE6:EE7)</f>
        <v>100933.85</v>
      </c>
      <c r="EF5" s="1">
        <v>848</v>
      </c>
      <c r="EG5" s="48">
        <f t="shared" ref="EG5:EG26" si="23">EE5-EB5</f>
        <v>-1127.9666666666599</v>
      </c>
      <c r="EH5" s="29">
        <f>EE5+EF5-EB5</f>
        <v>-279.96666666665988</v>
      </c>
      <c r="EI5" s="923"/>
      <c r="EJ5" s="924"/>
      <c r="EK5" s="3" t="s">
        <v>146</v>
      </c>
      <c r="EL5" s="3">
        <f>SUM(EL6:EL7)</f>
        <v>101611.43333333331</v>
      </c>
      <c r="EM5" s="101">
        <f>SUM(EM6:EM7)</f>
        <v>0</v>
      </c>
      <c r="EN5" s="102">
        <f>SUM(EN6:EN7)</f>
        <v>0</v>
      </c>
      <c r="EO5" s="101">
        <f>SUM(EO6:EO7)</f>
        <v>0</v>
      </c>
      <c r="EP5" s="1"/>
      <c r="EQ5" s="105">
        <f>SUM(EQ6:EQ7)</f>
        <v>101611.43333333331</v>
      </c>
      <c r="ER5" s="99">
        <f t="shared" ref="ER5:ER26" si="24">(EO5-EP5)/(EL5+EM5+EN5)</f>
        <v>0</v>
      </c>
      <c r="ES5" s="33">
        <f t="shared" ref="ES5:ES26" si="25">1-((EO5-EP5)/(EL5+EM5+EN5))</f>
        <v>1</v>
      </c>
      <c r="ET5" s="101">
        <f>SUM(ET6:ET7)</f>
        <v>102438.03333333334</v>
      </c>
      <c r="EU5" s="1">
        <v>848</v>
      </c>
      <c r="EV5" s="48">
        <f t="shared" ref="EV5:EV26" si="26">ET5-EQ5</f>
        <v>826.60000000003492</v>
      </c>
      <c r="EW5" s="29">
        <f>ET5+EU5-EQ5</f>
        <v>1674.6000000000349</v>
      </c>
      <c r="EX5" s="925"/>
      <c r="EY5" s="926"/>
      <c r="EZ5" s="3" t="s">
        <v>146</v>
      </c>
      <c r="FA5" s="3">
        <f>SUM(FA6:FA7)</f>
        <v>102149.91666666663</v>
      </c>
      <c r="FB5" s="101">
        <f>SUM(FB6:FB7)</f>
        <v>0</v>
      </c>
      <c r="FC5" s="102">
        <f>SUM(FC6:FC7)</f>
        <v>0</v>
      </c>
      <c r="FD5" s="101">
        <f>SUM(FD6:FD7)</f>
        <v>0</v>
      </c>
      <c r="FE5" s="1"/>
      <c r="FF5" s="105">
        <f>SUM(FF6:FF7)</f>
        <v>102149.91666666663</v>
      </c>
      <c r="FG5" s="99">
        <f t="shared" ref="FG5:FG26" si="27">(FD5-FE5)/(FA5+FB5+FC5)</f>
        <v>0</v>
      </c>
      <c r="FH5" s="33">
        <f t="shared" ref="FH5:FH26" si="28">1-((FD5-FE5)/(FA5+FB5+FC5))</f>
        <v>1</v>
      </c>
      <c r="FI5" s="101">
        <f>SUM(FI6:FI7)</f>
        <v>104783.85</v>
      </c>
      <c r="FJ5" s="1">
        <v>848</v>
      </c>
      <c r="FK5" s="48">
        <f t="shared" ref="FK5:FK26" si="29">FI5-FF5</f>
        <v>2633.933333333378</v>
      </c>
      <c r="FL5" s="29">
        <f>FI5+FJ5-FF5</f>
        <v>3481.933333333378</v>
      </c>
      <c r="FM5" s="927"/>
      <c r="FN5" s="927"/>
      <c r="FO5" s="3" t="s">
        <v>146</v>
      </c>
      <c r="FP5" s="3">
        <f>SUM(FP6:FP7)</f>
        <v>99694.583333333314</v>
      </c>
      <c r="FQ5" s="101">
        <f>SUM(FQ6:FQ7)</f>
        <v>0</v>
      </c>
      <c r="FR5" s="102">
        <f>SUM(FR6:FR7)</f>
        <v>0</v>
      </c>
      <c r="FS5" s="101">
        <f>SUM(FS6:FS7)</f>
        <v>0</v>
      </c>
      <c r="FT5" s="1"/>
      <c r="FU5" s="105">
        <f>SUM(FU6:FU7)</f>
        <v>99694.583333333314</v>
      </c>
      <c r="FV5" s="99">
        <f t="shared" ref="FV5:FV26" si="30">(FS5-FT5)/(FP5+FQ5+FR5)</f>
        <v>0</v>
      </c>
      <c r="FW5" s="33">
        <f t="shared" ref="FW5:FW26" si="31">1-((FS5-FT5)/(FP5+FQ5+FR5))</f>
        <v>1</v>
      </c>
      <c r="FX5" s="101">
        <f>SUM(FX6:FX7)</f>
        <v>98562.85</v>
      </c>
      <c r="FY5" s="1">
        <v>848</v>
      </c>
      <c r="FZ5" s="48">
        <f t="shared" ref="FZ5:FZ26" si="32">FX5-FU5</f>
        <v>-1131.7333333333081</v>
      </c>
      <c r="GA5" s="29">
        <f>FX5+FY5-FU5</f>
        <v>-283.73333333330811</v>
      </c>
    </row>
    <row r="6" spans="1:183">
      <c r="A6" s="906"/>
      <c r="B6" s="907">
        <v>1</v>
      </c>
      <c r="C6" s="876" t="s">
        <v>147</v>
      </c>
      <c r="D6" s="928">
        <v>38577.816666666666</v>
      </c>
      <c r="E6" s="928">
        <v>195.93333333333331</v>
      </c>
      <c r="F6" s="6">
        <v>324.5</v>
      </c>
      <c r="G6" s="106">
        <v>271</v>
      </c>
      <c r="H6" s="876"/>
      <c r="I6" s="93">
        <f>D6+E6+F6+H6-G6</f>
        <v>38827.25</v>
      </c>
      <c r="J6" s="929">
        <v>37028</v>
      </c>
      <c r="K6" s="930">
        <f>(G6-H6)/(D6+E6+F6)</f>
        <v>6.931256514038352E-3</v>
      </c>
      <c r="L6" s="930">
        <f>1-((G6-H6)/(D6+E6+F6))</f>
        <v>0.99306874348596164</v>
      </c>
      <c r="M6" s="912">
        <v>39310</v>
      </c>
      <c r="N6" s="876"/>
      <c r="O6" s="931">
        <f t="shared" si="0"/>
        <v>482.75</v>
      </c>
      <c r="P6" s="918"/>
      <c r="Q6" s="909"/>
      <c r="R6" s="932">
        <v>1</v>
      </c>
      <c r="S6" s="876" t="s">
        <v>147</v>
      </c>
      <c r="T6" s="933">
        <v>38698.65</v>
      </c>
      <c r="U6" s="876">
        <v>158.55000000000001</v>
      </c>
      <c r="V6" s="7">
        <v>356.8</v>
      </c>
      <c r="W6" s="106">
        <v>285</v>
      </c>
      <c r="X6" s="876"/>
      <c r="Y6" s="93">
        <f>T6+U6+V6+X6-W6</f>
        <v>38929.000000000007</v>
      </c>
      <c r="Z6" s="929">
        <v>38885</v>
      </c>
      <c r="AA6" s="930">
        <f t="shared" si="1"/>
        <v>7.2678125159381839E-3</v>
      </c>
      <c r="AB6" s="930">
        <f>1-(W6/(T6+U6+V6))</f>
        <v>0.99273218748406178</v>
      </c>
      <c r="AC6" s="876">
        <v>39433</v>
      </c>
      <c r="AD6" s="876"/>
      <c r="AE6" s="931">
        <f t="shared" si="2"/>
        <v>503.99999999999272</v>
      </c>
      <c r="AF6" s="918"/>
      <c r="AG6" s="911"/>
      <c r="AH6" s="876">
        <v>1</v>
      </c>
      <c r="AI6" s="876" t="s">
        <v>147</v>
      </c>
      <c r="AJ6" s="933">
        <v>36559.699999999997</v>
      </c>
      <c r="AK6" s="933">
        <v>41.233333333333334</v>
      </c>
      <c r="AL6" s="7">
        <v>176.3</v>
      </c>
      <c r="AM6" s="106">
        <v>280</v>
      </c>
      <c r="AN6" s="876"/>
      <c r="AO6" s="93">
        <f>AJ6+AK6+AL6+AN6-AM6</f>
        <v>36497.23333333333</v>
      </c>
      <c r="AP6" s="934"/>
      <c r="AQ6" s="930">
        <f t="shared" si="3"/>
        <v>7.6134057573661977E-3</v>
      </c>
      <c r="AR6" s="930">
        <f t="shared" si="4"/>
        <v>0.99238659424263376</v>
      </c>
      <c r="AS6" s="876">
        <v>37083</v>
      </c>
      <c r="AT6" s="876"/>
      <c r="AU6" s="931">
        <f t="shared" si="5"/>
        <v>585.76666666667006</v>
      </c>
      <c r="AV6" s="918"/>
      <c r="AW6" s="913"/>
      <c r="AX6" s="932">
        <v>1</v>
      </c>
      <c r="AY6" s="876" t="s">
        <v>147</v>
      </c>
      <c r="AZ6" s="933">
        <v>39516.766666666677</v>
      </c>
      <c r="BA6" s="933">
        <v>125.38333333333335</v>
      </c>
      <c r="BB6" s="7">
        <v>10.5</v>
      </c>
      <c r="BC6" s="106">
        <v>374</v>
      </c>
      <c r="BD6" s="876"/>
      <c r="BE6" s="93">
        <f>AZ6+BA6+BB6+BD6-BC6</f>
        <v>39278.650000000009</v>
      </c>
      <c r="BF6" s="930">
        <f t="shared" si="6"/>
        <v>9.4319042989560575E-3</v>
      </c>
      <c r="BG6" s="930">
        <f t="shared" si="7"/>
        <v>0.99056809570104398</v>
      </c>
      <c r="BH6" s="876">
        <v>39858</v>
      </c>
      <c r="BI6" s="876"/>
      <c r="BJ6" s="935">
        <f t="shared" si="8"/>
        <v>579.34999999999127</v>
      </c>
      <c r="BK6" s="918"/>
      <c r="BL6" s="914"/>
      <c r="BM6" s="876">
        <v>2</v>
      </c>
      <c r="BN6" s="876" t="s">
        <v>147</v>
      </c>
      <c r="BO6" s="933">
        <v>36670.166666666664</v>
      </c>
      <c r="BP6" s="933"/>
      <c r="BQ6" s="7"/>
      <c r="BR6" s="106"/>
      <c r="BS6" s="430"/>
      <c r="BT6" s="93">
        <f>BO6+BP6+BQ6+BS6-BR6</f>
        <v>36670.166666666664</v>
      </c>
      <c r="BU6" s="930">
        <f t="shared" si="9"/>
        <v>0</v>
      </c>
      <c r="BV6" s="930">
        <f t="shared" si="10"/>
        <v>1</v>
      </c>
      <c r="BW6" s="936">
        <v>36995</v>
      </c>
      <c r="BX6" s="430"/>
      <c r="BY6" s="917">
        <f t="shared" si="11"/>
        <v>324.83333333333576</v>
      </c>
      <c r="BZ6" s="918"/>
      <c r="CA6" s="915"/>
      <c r="CB6" s="876">
        <v>1</v>
      </c>
      <c r="CC6" s="876" t="s">
        <v>147</v>
      </c>
      <c r="CD6" s="933">
        <v>37974.800000000003</v>
      </c>
      <c r="CE6" s="933"/>
      <c r="CF6" s="7"/>
      <c r="CG6" s="106"/>
      <c r="CH6" s="430"/>
      <c r="CI6" s="93">
        <f>CD6+CE6+CF6+CH6-CG6</f>
        <v>37974.800000000003</v>
      </c>
      <c r="CJ6" s="930">
        <f t="shared" si="12"/>
        <v>0</v>
      </c>
      <c r="CK6" s="930">
        <f t="shared" si="13"/>
        <v>1</v>
      </c>
      <c r="CL6" s="430">
        <v>38338</v>
      </c>
      <c r="CM6" s="937"/>
      <c r="CN6" s="917">
        <f t="shared" si="14"/>
        <v>363.19999999999709</v>
      </c>
      <c r="CO6" s="918"/>
      <c r="CP6" s="919"/>
      <c r="CQ6" s="876">
        <v>1</v>
      </c>
      <c r="CR6" s="876" t="s">
        <v>147</v>
      </c>
      <c r="CS6" s="933">
        <v>38710.116666666676</v>
      </c>
      <c r="CT6" s="933"/>
      <c r="CU6" s="7"/>
      <c r="CV6" s="106"/>
      <c r="CW6" s="430"/>
      <c r="CX6" s="93">
        <f>CS6+CT6+CU6+CW6-CV6</f>
        <v>38710.116666666676</v>
      </c>
      <c r="CY6" s="930">
        <f t="shared" si="15"/>
        <v>0</v>
      </c>
      <c r="CZ6" s="930">
        <f t="shared" si="16"/>
        <v>1</v>
      </c>
      <c r="DA6" s="936">
        <v>39098</v>
      </c>
      <c r="DB6" s="430"/>
      <c r="DC6" s="938">
        <f t="shared" si="17"/>
        <v>387.88333333332412</v>
      </c>
      <c r="DD6" s="939"/>
      <c r="DE6" s="920"/>
      <c r="DF6" s="876">
        <v>1</v>
      </c>
      <c r="DG6" s="876" t="s">
        <v>147</v>
      </c>
      <c r="DH6" s="933">
        <v>35145.666666666664</v>
      </c>
      <c r="DI6" s="933"/>
      <c r="DJ6" s="7"/>
      <c r="DK6" s="106"/>
      <c r="DL6" s="876"/>
      <c r="DM6" s="93">
        <f>DH6+DI6+DJ6+DL6-DK6</f>
        <v>35145.666666666664</v>
      </c>
      <c r="DN6" s="930">
        <f t="shared" si="18"/>
        <v>0</v>
      </c>
      <c r="DO6" s="930">
        <f t="shared" si="19"/>
        <v>1</v>
      </c>
      <c r="DP6" s="940">
        <v>36166</v>
      </c>
      <c r="DQ6" s="876"/>
      <c r="DR6" s="938">
        <f t="shared" si="20"/>
        <v>1020.3333333333358</v>
      </c>
      <c r="DS6" s="939"/>
      <c r="DT6" s="921"/>
      <c r="DU6" s="876">
        <v>1</v>
      </c>
      <c r="DV6" s="876" t="s">
        <v>147</v>
      </c>
      <c r="DW6" s="933">
        <v>38104.066666666666</v>
      </c>
      <c r="DX6" s="933"/>
      <c r="DY6" s="7"/>
      <c r="DZ6" s="106"/>
      <c r="EA6" s="430"/>
      <c r="EB6" s="93">
        <f>DW6+DX6+DY6+EA6-DZ6</f>
        <v>38104.066666666666</v>
      </c>
      <c r="EC6" s="930">
        <f t="shared" si="21"/>
        <v>0</v>
      </c>
      <c r="ED6" s="930">
        <f t="shared" si="22"/>
        <v>1</v>
      </c>
      <c r="EE6" s="936">
        <v>37755</v>
      </c>
      <c r="EF6" s="430"/>
      <c r="EG6" s="938">
        <f t="shared" si="23"/>
        <v>-349.0666666666657</v>
      </c>
      <c r="EH6" s="939"/>
      <c r="EI6" s="941"/>
      <c r="EJ6" s="876">
        <v>1</v>
      </c>
      <c r="EK6" s="876" t="s">
        <v>147</v>
      </c>
      <c r="EL6" s="933">
        <v>38019.966666666674</v>
      </c>
      <c r="EM6" s="933"/>
      <c r="EN6" s="7"/>
      <c r="EO6" s="106"/>
      <c r="EP6" s="430"/>
      <c r="EQ6" s="93">
        <f>EL6+EM6+EN6+EP6-EO6</f>
        <v>38019.966666666674</v>
      </c>
      <c r="ER6" s="930">
        <f t="shared" si="24"/>
        <v>0</v>
      </c>
      <c r="ES6" s="930">
        <f t="shared" si="25"/>
        <v>1</v>
      </c>
      <c r="ET6" s="430">
        <v>38392</v>
      </c>
      <c r="EU6" s="430"/>
      <c r="EV6" s="938">
        <f t="shared" si="26"/>
        <v>372.03333333332557</v>
      </c>
      <c r="EW6" s="939"/>
      <c r="EX6" s="925"/>
      <c r="EY6" s="876">
        <v>1</v>
      </c>
      <c r="EZ6" s="876" t="s">
        <v>147</v>
      </c>
      <c r="FA6" s="876">
        <v>38150.1</v>
      </c>
      <c r="FB6" s="933"/>
      <c r="FC6" s="7"/>
      <c r="FD6" s="106"/>
      <c r="FE6" s="430"/>
      <c r="FF6" s="93">
        <f>FA6+FB6+FC6+FE6-FD6</f>
        <v>38150.1</v>
      </c>
      <c r="FG6" s="930">
        <f t="shared" si="27"/>
        <v>0</v>
      </c>
      <c r="FH6" s="930">
        <f t="shared" si="28"/>
        <v>1</v>
      </c>
      <c r="FI6" s="936">
        <v>39167</v>
      </c>
      <c r="FJ6" s="430"/>
      <c r="FK6" s="938">
        <f t="shared" si="29"/>
        <v>1016.9000000000015</v>
      </c>
      <c r="FL6" s="939"/>
      <c r="FM6" s="927"/>
      <c r="FN6" s="932">
        <v>1</v>
      </c>
      <c r="FO6" s="876" t="s">
        <v>147</v>
      </c>
      <c r="FP6" s="876">
        <v>37276.216666666667</v>
      </c>
      <c r="FQ6" s="933"/>
      <c r="FR6" s="7"/>
      <c r="FS6" s="106"/>
      <c r="FT6" s="876"/>
      <c r="FU6" s="93">
        <f>FP6+FQ6+FR6+FT6-FS6</f>
        <v>37276.216666666667</v>
      </c>
      <c r="FV6" s="930">
        <f t="shared" si="30"/>
        <v>0</v>
      </c>
      <c r="FW6" s="930">
        <f t="shared" si="31"/>
        <v>1</v>
      </c>
      <c r="FX6" s="940">
        <v>36926</v>
      </c>
      <c r="FY6" s="876"/>
      <c r="FZ6" s="938">
        <f t="shared" si="32"/>
        <v>-350.21666666666715</v>
      </c>
      <c r="GA6" s="939"/>
    </row>
    <row r="7" spans="1:183">
      <c r="A7" s="906"/>
      <c r="B7" s="907">
        <v>2</v>
      </c>
      <c r="C7" s="876" t="s">
        <v>148</v>
      </c>
      <c r="D7" s="928">
        <v>64673.16666666665</v>
      </c>
      <c r="E7" s="928">
        <v>154.80000000000001</v>
      </c>
      <c r="F7" s="6">
        <v>563.79999999999995</v>
      </c>
      <c r="G7" s="106">
        <v>670</v>
      </c>
      <c r="H7" s="876"/>
      <c r="I7" s="93">
        <f>D7+E7+F7+H7-G7</f>
        <v>64721.766666666656</v>
      </c>
      <c r="J7" s="929">
        <v>66370</v>
      </c>
      <c r="K7" s="930">
        <f>(G7-H7)/(D7+E7+F7)</f>
        <v>1.0245938199151474E-2</v>
      </c>
      <c r="L7" s="930">
        <f>1-((G7-H7)/(D7+E7+F7))</f>
        <v>0.98975406180084857</v>
      </c>
      <c r="M7" s="912">
        <v>65505</v>
      </c>
      <c r="N7" s="876"/>
      <c r="O7" s="931">
        <f t="shared" si="0"/>
        <v>783.23333333334449</v>
      </c>
      <c r="P7" s="918"/>
      <c r="Q7" s="909"/>
      <c r="R7" s="932">
        <v>2</v>
      </c>
      <c r="S7" s="876" t="s">
        <v>148</v>
      </c>
      <c r="T7" s="933">
        <v>64994.916666666642</v>
      </c>
      <c r="U7" s="933">
        <v>195.26666666666668</v>
      </c>
      <c r="V7" s="7">
        <v>587.5</v>
      </c>
      <c r="W7" s="106">
        <v>654</v>
      </c>
      <c r="X7" s="876"/>
      <c r="Y7" s="93">
        <f>T7+U7+V7+X7-W7</f>
        <v>65123.68333333332</v>
      </c>
      <c r="Z7" s="929">
        <v>65163</v>
      </c>
      <c r="AA7" s="930">
        <f t="shared" si="1"/>
        <v>9.9425818432340683E-3</v>
      </c>
      <c r="AB7" s="930">
        <f>1-(W7/(T7+U7+V7))</f>
        <v>0.99005741815676596</v>
      </c>
      <c r="AC7" s="876">
        <v>65828</v>
      </c>
      <c r="AD7" s="876"/>
      <c r="AE7" s="931">
        <f t="shared" si="2"/>
        <v>704.31666666668025</v>
      </c>
      <c r="AF7" s="918"/>
      <c r="AG7" s="911"/>
      <c r="AH7" s="876">
        <v>2</v>
      </c>
      <c r="AI7" s="876" t="s">
        <v>148</v>
      </c>
      <c r="AJ7" s="933">
        <v>61270.133333333302</v>
      </c>
      <c r="AK7" s="933">
        <v>43.35</v>
      </c>
      <c r="AL7" s="7">
        <v>327.39999999999998</v>
      </c>
      <c r="AM7" s="106">
        <v>621</v>
      </c>
      <c r="AN7" s="876"/>
      <c r="AO7" s="93">
        <f>AJ7+AK7+AL7+AN7-AM7</f>
        <v>61019.883333333302</v>
      </c>
      <c r="AP7" s="934"/>
      <c r="AQ7" s="930">
        <f t="shared" si="3"/>
        <v>1.0074482493085627E-2</v>
      </c>
      <c r="AR7" s="930">
        <f t="shared" si="4"/>
        <v>0.98992551750691438</v>
      </c>
      <c r="AS7" s="876">
        <v>61905</v>
      </c>
      <c r="AT7" s="876"/>
      <c r="AU7" s="931">
        <f t="shared" si="5"/>
        <v>885.11666666669771</v>
      </c>
      <c r="AV7" s="918"/>
      <c r="AW7" s="913"/>
      <c r="AX7" s="932">
        <v>2</v>
      </c>
      <c r="AY7" s="876" t="s">
        <v>148</v>
      </c>
      <c r="AZ7" s="933">
        <v>66024.266666666634</v>
      </c>
      <c r="BA7" s="933">
        <v>49.2</v>
      </c>
      <c r="BB7" s="7">
        <v>14.5</v>
      </c>
      <c r="BC7" s="106">
        <v>619</v>
      </c>
      <c r="BD7" s="876"/>
      <c r="BE7" s="93">
        <f>AZ7+BA7+BB7+BD7-BC7</f>
        <v>65468.966666666631</v>
      </c>
      <c r="BF7" s="930">
        <f t="shared" si="6"/>
        <v>9.3663042036396995E-3</v>
      </c>
      <c r="BG7" s="930">
        <f t="shared" si="7"/>
        <v>0.99063369579636029</v>
      </c>
      <c r="BH7" s="876">
        <v>66455</v>
      </c>
      <c r="BI7" s="876"/>
      <c r="BJ7" s="935">
        <f t="shared" si="8"/>
        <v>986.03333333336923</v>
      </c>
      <c r="BK7" s="918"/>
      <c r="BL7" s="914"/>
      <c r="BM7" s="876"/>
      <c r="BN7" s="876" t="s">
        <v>148</v>
      </c>
      <c r="BO7" s="933">
        <v>61582.35</v>
      </c>
      <c r="BP7" s="933"/>
      <c r="BQ7" s="7"/>
      <c r="BR7" s="106"/>
      <c r="BS7" s="430"/>
      <c r="BT7" s="93">
        <f>BO7+BP7+BQ7+BS7-BR7</f>
        <v>61582.35</v>
      </c>
      <c r="BU7" s="930">
        <f t="shared" si="9"/>
        <v>0</v>
      </c>
      <c r="BV7" s="930">
        <f t="shared" si="10"/>
        <v>1</v>
      </c>
      <c r="BW7" s="936">
        <v>61988.666666666672</v>
      </c>
      <c r="BX7" s="430"/>
      <c r="BY7" s="917">
        <f t="shared" si="11"/>
        <v>406.31666666667297</v>
      </c>
      <c r="BZ7" s="918"/>
      <c r="CA7" s="915"/>
      <c r="CB7" s="876">
        <v>2</v>
      </c>
      <c r="CC7" s="876" t="s">
        <v>148</v>
      </c>
      <c r="CD7" s="933">
        <v>63628.333333333307</v>
      </c>
      <c r="CE7" s="933"/>
      <c r="CF7" s="7"/>
      <c r="CG7" s="106"/>
      <c r="CH7" s="430"/>
      <c r="CI7" s="93">
        <f>CD7+CE7+CF7+CH7-CG7</f>
        <v>63628.333333333307</v>
      </c>
      <c r="CJ7" s="930">
        <f t="shared" si="12"/>
        <v>0</v>
      </c>
      <c r="CK7" s="930">
        <f t="shared" si="13"/>
        <v>1</v>
      </c>
      <c r="CL7" s="430">
        <v>64074.85</v>
      </c>
      <c r="CM7" s="937"/>
      <c r="CN7" s="917">
        <f t="shared" si="14"/>
        <v>446.51666666669189</v>
      </c>
      <c r="CO7" s="918"/>
      <c r="CP7" s="919"/>
      <c r="CQ7" s="876">
        <v>2</v>
      </c>
      <c r="CR7" s="876" t="s">
        <v>148</v>
      </c>
      <c r="CS7" s="933">
        <v>64793.766666666626</v>
      </c>
      <c r="CT7" s="933"/>
      <c r="CU7" s="7"/>
      <c r="CV7" s="106"/>
      <c r="CW7" s="430"/>
      <c r="CX7" s="93">
        <f>CS7+CT7+CU7+CW7-CV7</f>
        <v>64793.766666666626</v>
      </c>
      <c r="CY7" s="930">
        <f t="shared" si="15"/>
        <v>0</v>
      </c>
      <c r="CZ7" s="930">
        <f t="shared" si="16"/>
        <v>1</v>
      </c>
      <c r="DA7" s="936">
        <v>65265.03333333334</v>
      </c>
      <c r="DB7" s="430"/>
      <c r="DC7" s="938">
        <f t="shared" si="17"/>
        <v>471.26666666671372</v>
      </c>
      <c r="DD7" s="939"/>
      <c r="DE7" s="920"/>
      <c r="DF7" s="876">
        <v>2</v>
      </c>
      <c r="DG7" s="876" t="s">
        <v>148</v>
      </c>
      <c r="DH7" s="933">
        <v>58834.86666666664</v>
      </c>
      <c r="DI7" s="933"/>
      <c r="DJ7" s="7"/>
      <c r="DK7" s="106"/>
      <c r="DL7" s="876"/>
      <c r="DM7" s="93">
        <f>DH7+DI7+DJ7+DL7-DK7</f>
        <v>58834.86666666664</v>
      </c>
      <c r="DN7" s="930">
        <f t="shared" si="18"/>
        <v>0</v>
      </c>
      <c r="DO7" s="930">
        <f t="shared" si="19"/>
        <v>1</v>
      </c>
      <c r="DP7" s="940">
        <v>60446.666666666679</v>
      </c>
      <c r="DQ7" s="876"/>
      <c r="DR7" s="938">
        <f t="shared" si="20"/>
        <v>1611.8000000000393</v>
      </c>
      <c r="DS7" s="939"/>
      <c r="DT7" s="921"/>
      <c r="DU7" s="876">
        <v>2</v>
      </c>
      <c r="DV7" s="876" t="s">
        <v>148</v>
      </c>
      <c r="DW7" s="933">
        <v>63957.75</v>
      </c>
      <c r="DX7" s="933"/>
      <c r="DY7" s="7"/>
      <c r="DZ7" s="106"/>
      <c r="EA7" s="430"/>
      <c r="EB7" s="93">
        <f>DW7+DX7+DY7+EA7-DZ7</f>
        <v>63957.75</v>
      </c>
      <c r="EC7" s="930">
        <f t="shared" si="21"/>
        <v>0</v>
      </c>
      <c r="ED7" s="930">
        <f t="shared" si="22"/>
        <v>1</v>
      </c>
      <c r="EE7" s="936">
        <v>63178.85</v>
      </c>
      <c r="EF7" s="430"/>
      <c r="EG7" s="938">
        <f t="shared" si="23"/>
        <v>-778.90000000000146</v>
      </c>
      <c r="EH7" s="939"/>
      <c r="EI7" s="941"/>
      <c r="EJ7" s="876">
        <v>2</v>
      </c>
      <c r="EK7" s="876" t="s">
        <v>148</v>
      </c>
      <c r="EL7" s="933">
        <v>63591.466666666631</v>
      </c>
      <c r="EM7" s="933"/>
      <c r="EN7" s="7"/>
      <c r="EO7" s="106"/>
      <c r="EP7" s="430"/>
      <c r="EQ7" s="93">
        <f>EL7+EM7+EN7+EP7-EO7</f>
        <v>63591.466666666631</v>
      </c>
      <c r="ER7" s="930">
        <f t="shared" si="24"/>
        <v>0</v>
      </c>
      <c r="ES7" s="930">
        <f t="shared" si="25"/>
        <v>1</v>
      </c>
      <c r="ET7" s="430">
        <v>64046.03333333334</v>
      </c>
      <c r="EU7" s="430"/>
      <c r="EV7" s="938">
        <f t="shared" si="26"/>
        <v>454.56666666670935</v>
      </c>
      <c r="EW7" s="939"/>
      <c r="EX7" s="925"/>
      <c r="EY7" s="876">
        <v>2</v>
      </c>
      <c r="EZ7" s="876" t="s">
        <v>148</v>
      </c>
      <c r="FA7" s="876">
        <v>63999.816666666629</v>
      </c>
      <c r="FB7" s="933"/>
      <c r="FC7" s="7"/>
      <c r="FD7" s="106"/>
      <c r="FE7" s="430"/>
      <c r="FF7" s="93">
        <f>FA7+FB7+FC7+FE7-FD7</f>
        <v>63999.816666666629</v>
      </c>
      <c r="FG7" s="930">
        <f t="shared" si="27"/>
        <v>0</v>
      </c>
      <c r="FH7" s="930">
        <f t="shared" si="28"/>
        <v>1</v>
      </c>
      <c r="FI7" s="936">
        <v>65616.850000000006</v>
      </c>
      <c r="FJ7" s="430"/>
      <c r="FK7" s="938">
        <f t="shared" si="29"/>
        <v>1617.0333333333765</v>
      </c>
      <c r="FL7" s="939"/>
      <c r="FM7" s="927"/>
      <c r="FN7" s="932">
        <v>2</v>
      </c>
      <c r="FO7" s="876" t="s">
        <v>148</v>
      </c>
      <c r="FP7" s="876">
        <v>62418.36666666664</v>
      </c>
      <c r="FQ7" s="933"/>
      <c r="FR7" s="7"/>
      <c r="FS7" s="106"/>
      <c r="FT7" s="876"/>
      <c r="FU7" s="93">
        <f>FP7+FQ7+FR7+FT7-FS7</f>
        <v>62418.36666666664</v>
      </c>
      <c r="FV7" s="930">
        <f t="shared" si="30"/>
        <v>0</v>
      </c>
      <c r="FW7" s="930">
        <f t="shared" si="31"/>
        <v>1</v>
      </c>
      <c r="FX7" s="940">
        <v>61636.85</v>
      </c>
      <c r="FY7" s="876"/>
      <c r="FZ7" s="938">
        <f t="shared" si="32"/>
        <v>-781.51666666664096</v>
      </c>
      <c r="GA7" s="939"/>
    </row>
    <row r="8" spans="1:183">
      <c r="A8" s="906"/>
      <c r="B8" s="907"/>
      <c r="C8" s="876"/>
      <c r="D8" s="928"/>
      <c r="E8" s="928"/>
      <c r="F8" s="6"/>
      <c r="G8" s="106"/>
      <c r="H8" s="876"/>
      <c r="I8" s="93"/>
      <c r="J8" s="929"/>
      <c r="K8" s="930"/>
      <c r="L8" s="930"/>
      <c r="M8" s="912"/>
      <c r="N8" s="876"/>
      <c r="O8" s="931"/>
      <c r="P8" s="918"/>
      <c r="Q8" s="909"/>
      <c r="R8" s="932"/>
      <c r="S8" s="876"/>
      <c r="T8" s="933"/>
      <c r="U8" s="933"/>
      <c r="V8" s="7"/>
      <c r="W8" s="106"/>
      <c r="X8" s="876"/>
      <c r="Y8" s="93"/>
      <c r="Z8" s="929"/>
      <c r="AA8" s="930"/>
      <c r="AB8" s="930"/>
      <c r="AC8" s="876"/>
      <c r="AD8" s="876"/>
      <c r="AE8" s="931"/>
      <c r="AF8" s="918"/>
      <c r="AG8" s="911"/>
      <c r="AH8" s="876"/>
      <c r="AI8" s="876"/>
      <c r="AJ8" s="933"/>
      <c r="AK8" s="933"/>
      <c r="AL8" s="7"/>
      <c r="AM8" s="106"/>
      <c r="AN8" s="876"/>
      <c r="AO8" s="93"/>
      <c r="AP8" s="934"/>
      <c r="AQ8" s="930"/>
      <c r="AR8" s="930"/>
      <c r="AS8" s="876"/>
      <c r="AT8" s="876"/>
      <c r="AU8" s="931"/>
      <c r="AV8" s="918"/>
      <c r="AW8" s="913"/>
      <c r="AX8" s="932"/>
      <c r="AY8" s="876"/>
      <c r="AZ8" s="933"/>
      <c r="BA8" s="933"/>
      <c r="BB8" s="7"/>
      <c r="BC8" s="106"/>
      <c r="BD8" s="876"/>
      <c r="BE8" s="93"/>
      <c r="BF8" s="930"/>
      <c r="BG8" s="930"/>
      <c r="BH8" s="876"/>
      <c r="BI8" s="876"/>
      <c r="BJ8" s="935"/>
      <c r="BK8" s="918"/>
      <c r="BL8" s="914"/>
      <c r="BM8" s="876">
        <v>3</v>
      </c>
      <c r="BN8" s="876"/>
      <c r="BO8" s="933"/>
      <c r="BP8" s="933"/>
      <c r="BQ8" s="7"/>
      <c r="BR8" s="106"/>
      <c r="BS8" s="430"/>
      <c r="BT8" s="93"/>
      <c r="BU8" s="930"/>
      <c r="BV8" s="930"/>
      <c r="BW8" s="936"/>
      <c r="BX8" s="430"/>
      <c r="BY8" s="917"/>
      <c r="BZ8" s="918"/>
      <c r="CA8" s="915"/>
      <c r="CB8" s="876"/>
      <c r="CC8" s="876"/>
      <c r="CD8" s="933"/>
      <c r="CE8" s="933"/>
      <c r="CF8" s="7"/>
      <c r="CG8" s="106"/>
      <c r="CH8" s="430"/>
      <c r="CI8" s="93"/>
      <c r="CJ8" s="930"/>
      <c r="CK8" s="930"/>
      <c r="CL8" s="430"/>
      <c r="CM8" s="937"/>
      <c r="CN8" s="917"/>
      <c r="CO8" s="918"/>
      <c r="CP8" s="919"/>
      <c r="CQ8" s="876"/>
      <c r="CR8" s="876"/>
      <c r="CS8" s="933"/>
      <c r="CT8" s="933"/>
      <c r="CU8" s="7"/>
      <c r="CV8" s="106"/>
      <c r="CW8" s="430"/>
      <c r="CX8" s="93"/>
      <c r="CY8" s="930"/>
      <c r="CZ8" s="930"/>
      <c r="DA8" s="936"/>
      <c r="DB8" s="430"/>
      <c r="DC8" s="938"/>
      <c r="DD8" s="939"/>
      <c r="DE8" s="920"/>
      <c r="DF8" s="876"/>
      <c r="DG8" s="876"/>
      <c r="DH8" s="933"/>
      <c r="DI8" s="933"/>
      <c r="DJ8" s="7"/>
      <c r="DK8" s="106"/>
      <c r="DL8" s="876"/>
      <c r="DM8" s="93"/>
      <c r="DN8" s="930"/>
      <c r="DO8" s="930"/>
      <c r="DP8" s="940"/>
      <c r="DQ8" s="876"/>
      <c r="DR8" s="938"/>
      <c r="DS8" s="939"/>
      <c r="DT8" s="921"/>
      <c r="DU8" s="876"/>
      <c r="DV8" s="876"/>
      <c r="DW8" s="933"/>
      <c r="DX8" s="933"/>
      <c r="DY8" s="7"/>
      <c r="DZ8" s="106"/>
      <c r="EA8" s="430"/>
      <c r="EB8" s="93"/>
      <c r="EC8" s="930"/>
      <c r="ED8" s="930"/>
      <c r="EE8" s="936"/>
      <c r="EF8" s="430"/>
      <c r="EG8" s="938"/>
      <c r="EH8" s="939"/>
      <c r="EI8" s="941"/>
      <c r="EJ8" s="876"/>
      <c r="EK8" s="876"/>
      <c r="EL8" s="933"/>
      <c r="EM8" s="933"/>
      <c r="EN8" s="7"/>
      <c r="EO8" s="106"/>
      <c r="EP8" s="430"/>
      <c r="EQ8" s="93"/>
      <c r="ER8" s="930"/>
      <c r="ES8" s="930"/>
      <c r="ET8" s="430"/>
      <c r="EU8" s="430"/>
      <c r="EV8" s="938"/>
      <c r="EW8" s="939"/>
      <c r="EX8" s="925"/>
      <c r="EY8" s="876"/>
      <c r="EZ8" s="876"/>
      <c r="FA8" s="876"/>
      <c r="FB8" s="933"/>
      <c r="FC8" s="7"/>
      <c r="FD8" s="106"/>
      <c r="FE8" s="430"/>
      <c r="FF8" s="93"/>
      <c r="FG8" s="930"/>
      <c r="FH8" s="930"/>
      <c r="FI8" s="936"/>
      <c r="FJ8" s="430"/>
      <c r="FK8" s="938"/>
      <c r="FL8" s="939"/>
      <c r="FM8" s="927"/>
      <c r="FN8" s="932"/>
      <c r="FO8" s="876"/>
      <c r="FP8" s="876"/>
      <c r="FQ8" s="933"/>
      <c r="FR8" s="7"/>
      <c r="FS8" s="106"/>
      <c r="FT8" s="876"/>
      <c r="FU8" s="93"/>
      <c r="FV8" s="930"/>
      <c r="FW8" s="930"/>
      <c r="FX8" s="940"/>
      <c r="FY8" s="876"/>
      <c r="FZ8" s="938"/>
      <c r="GA8" s="939"/>
    </row>
    <row r="9" spans="1:183">
      <c r="A9" s="906"/>
      <c r="B9" s="907">
        <v>3</v>
      </c>
      <c r="C9" s="1" t="s">
        <v>149</v>
      </c>
      <c r="D9" s="96">
        <f>SUM(D10:D11)</f>
        <v>105723.95000000001</v>
      </c>
      <c r="E9" s="96">
        <f>SUM(E10:E11)</f>
        <v>392.53333333333342</v>
      </c>
      <c r="F9" s="96"/>
      <c r="G9" s="96">
        <f>SUM(G10:G11)</f>
        <v>816</v>
      </c>
      <c r="H9" s="3"/>
      <c r="I9" s="98">
        <f>SUM(I10:I11)</f>
        <v>105300.48333333334</v>
      </c>
      <c r="J9" s="66">
        <f>SUM(J10:J11)</f>
        <v>98279</v>
      </c>
      <c r="K9" s="33">
        <f>(G9-H9)/(D9+E9+F9)</f>
        <v>7.689663041666947E-3</v>
      </c>
      <c r="L9" s="33">
        <f>1-((G9-H9)/(D9+E9+F9))</f>
        <v>0.99231033695833304</v>
      </c>
      <c r="M9" s="96">
        <f>SUM(M10:M11)</f>
        <v>106771</v>
      </c>
      <c r="N9" s="3">
        <v>848</v>
      </c>
      <c r="O9" s="4">
        <f t="shared" si="0"/>
        <v>1470.5166666666628</v>
      </c>
      <c r="P9" s="5">
        <f>M9+N9-I9</f>
        <v>2318.5166666666628</v>
      </c>
      <c r="Q9" s="909"/>
      <c r="R9" s="932">
        <v>3</v>
      </c>
      <c r="S9" s="1" t="s">
        <v>149</v>
      </c>
      <c r="T9" s="96">
        <f>SUM(T10:T11)</f>
        <v>106211.15</v>
      </c>
      <c r="U9" s="96">
        <f>SUM(U10:U11)</f>
        <v>66.566666666666677</v>
      </c>
      <c r="V9" s="107">
        <f>SUM(V10:V11)</f>
        <v>157.19999999999999</v>
      </c>
      <c r="W9" s="96">
        <f>SUM(W10:W11)</f>
        <v>748</v>
      </c>
      <c r="X9" s="3"/>
      <c r="Y9" s="98">
        <f>SUM(Y10:Y11)</f>
        <v>105686.91666666666</v>
      </c>
      <c r="Z9" s="66">
        <f>SUM(Z10:Z11)</f>
        <v>106609</v>
      </c>
      <c r="AA9" s="33">
        <f t="shared" si="1"/>
        <v>7.027768926080806E-3</v>
      </c>
      <c r="AB9" s="33">
        <f>1-(W9/(T9+U9+V9))</f>
        <v>0.99297223107391919</v>
      </c>
      <c r="AC9" s="96">
        <f>SUM(AC10:AC11)</f>
        <v>107236</v>
      </c>
      <c r="AD9" s="3">
        <v>848</v>
      </c>
      <c r="AE9" s="4">
        <f t="shared" si="2"/>
        <v>1549.083333333343</v>
      </c>
      <c r="AF9" s="5">
        <f>AC9+AD9-Y9</f>
        <v>2397.083333333343</v>
      </c>
      <c r="AG9" s="911"/>
      <c r="AH9" s="876">
        <v>3</v>
      </c>
      <c r="AI9" s="1" t="s">
        <v>149</v>
      </c>
      <c r="AJ9" s="101">
        <f>SUM(AJ10:AJ11)</f>
        <v>100239.91666666666</v>
      </c>
      <c r="AK9" s="101">
        <f>SUM(AK10:AK11)</f>
        <v>57.783333333333339</v>
      </c>
      <c r="AL9" s="108">
        <f>SUM(AL10:AL11)</f>
        <v>125.35</v>
      </c>
      <c r="AM9" s="101">
        <f>SUM(AM10:AM11)</f>
        <v>849</v>
      </c>
      <c r="AN9" s="104"/>
      <c r="AO9" s="98">
        <f>SUM(AO10:AO11)</f>
        <v>99574.049999999988</v>
      </c>
      <c r="AP9" s="109">
        <f>SUM(AP10:AP11)</f>
        <v>0</v>
      </c>
      <c r="AQ9" s="33">
        <f t="shared" si="3"/>
        <v>8.454234361533532E-3</v>
      </c>
      <c r="AR9" s="33">
        <f t="shared" si="4"/>
        <v>0.99154576563846641</v>
      </c>
      <c r="AS9" s="101">
        <f>SUM(AS10:AS11)</f>
        <v>100830</v>
      </c>
      <c r="AT9" s="104">
        <v>848</v>
      </c>
      <c r="AU9" s="4">
        <f t="shared" si="5"/>
        <v>1255.9500000000116</v>
      </c>
      <c r="AV9" s="5">
        <f>AS9+AT9-AO9</f>
        <v>2103.9500000000116</v>
      </c>
      <c r="AW9" s="913"/>
      <c r="AX9" s="932">
        <v>3</v>
      </c>
      <c r="AY9" s="1" t="s">
        <v>149</v>
      </c>
      <c r="AZ9" s="101">
        <f>SUM(AZ10:AZ11)</f>
        <v>108078.73333333334</v>
      </c>
      <c r="BA9" s="101">
        <f>SUM(BA10:BA11)</f>
        <v>21.133333333333336</v>
      </c>
      <c r="BB9" s="108">
        <f>SUM(BB10:BB11)</f>
        <v>358.30000000000007</v>
      </c>
      <c r="BC9" s="101">
        <f>SUM(BC10:BC11)</f>
        <v>813</v>
      </c>
      <c r="BD9" s="3"/>
      <c r="BE9" s="98">
        <f>SUM(BE10:BE11)</f>
        <v>107645.16666666667</v>
      </c>
      <c r="BF9" s="33">
        <f t="shared" si="6"/>
        <v>7.4959777118366678E-3</v>
      </c>
      <c r="BG9" s="33">
        <f t="shared" si="7"/>
        <v>0.99250402228816337</v>
      </c>
      <c r="BH9" s="101">
        <f>SUM(BH10:BH11)</f>
        <v>108711</v>
      </c>
      <c r="BI9" s="104">
        <v>848</v>
      </c>
      <c r="BJ9" s="45">
        <f t="shared" si="8"/>
        <v>1065.8333333333285</v>
      </c>
      <c r="BK9" s="5">
        <f>BH9+BI9-BE9</f>
        <v>1913.8333333333285</v>
      </c>
      <c r="BL9" s="914"/>
      <c r="BM9" s="876">
        <v>4</v>
      </c>
      <c r="BN9" s="1" t="s">
        <v>149</v>
      </c>
      <c r="BO9" s="101">
        <f>SUM(BO10:BO11)</f>
        <v>100700.95</v>
      </c>
      <c r="BP9" s="101">
        <f>SUM(BP10:BP11)</f>
        <v>0</v>
      </c>
      <c r="BQ9" s="108">
        <f>SUM(BQ10:BQ11)</f>
        <v>0</v>
      </c>
      <c r="BR9" s="101">
        <f>SUM(BR10:BR11)</f>
        <v>0</v>
      </c>
      <c r="BS9" s="2"/>
      <c r="BT9" s="98">
        <f>SUM(BT10:BT11)</f>
        <v>100700.95</v>
      </c>
      <c r="BU9" s="33">
        <f t="shared" si="9"/>
        <v>0</v>
      </c>
      <c r="BV9" s="33">
        <f t="shared" si="10"/>
        <v>1</v>
      </c>
      <c r="BW9" s="101">
        <f>SUM(BW10:BW11)</f>
        <v>101346.66666666667</v>
      </c>
      <c r="BX9" s="104">
        <v>848</v>
      </c>
      <c r="BY9" s="46">
        <f t="shared" si="11"/>
        <v>645.71666666667443</v>
      </c>
      <c r="BZ9" s="5">
        <f>BW9+BX9-BT9</f>
        <v>1493.7166666666744</v>
      </c>
      <c r="CA9" s="915"/>
      <c r="CB9" s="876">
        <v>3</v>
      </c>
      <c r="CC9" s="1" t="s">
        <v>149</v>
      </c>
      <c r="CD9" s="47">
        <f>SUM(CD10:CD11)</f>
        <v>104085.51666666666</v>
      </c>
      <c r="CE9" s="101">
        <f>SUM(CE10:CE11)</f>
        <v>0</v>
      </c>
      <c r="CF9" s="108">
        <f>SUM(CF10:CF11)</f>
        <v>0</v>
      </c>
      <c r="CG9" s="101">
        <f>SUM(CG10:CG11)</f>
        <v>0</v>
      </c>
      <c r="CH9" s="2"/>
      <c r="CI9" s="91">
        <f>SUM(CI10:CI11)</f>
        <v>104085.51666666666</v>
      </c>
      <c r="CJ9" s="33">
        <f t="shared" si="12"/>
        <v>0</v>
      </c>
      <c r="CK9" s="33">
        <f t="shared" si="13"/>
        <v>1</v>
      </c>
      <c r="CL9" s="101">
        <f>SUM(CL10:CL11)</f>
        <v>104809.4</v>
      </c>
      <c r="CM9" s="104">
        <v>848</v>
      </c>
      <c r="CN9" s="917">
        <f t="shared" si="14"/>
        <v>723.88333333333139</v>
      </c>
      <c r="CO9" s="918">
        <f>CL9+CM9-CI9</f>
        <v>1571.8833333333314</v>
      </c>
      <c r="CP9" s="919"/>
      <c r="CQ9" s="876">
        <v>3</v>
      </c>
      <c r="CR9" s="1" t="s">
        <v>149</v>
      </c>
      <c r="CS9" s="47">
        <f>SUM(CS10:CS11)</f>
        <v>106005.49999999997</v>
      </c>
      <c r="CT9" s="101">
        <f>SUM(CT10:CT11)</f>
        <v>0</v>
      </c>
      <c r="CU9" s="108">
        <f>SUM(CU10:CU11)</f>
        <v>0</v>
      </c>
      <c r="CV9" s="101">
        <f>SUM(CV10:CV11)</f>
        <v>0</v>
      </c>
      <c r="CW9" s="2"/>
      <c r="CX9" s="91">
        <f>SUM(CX10:CX11)</f>
        <v>106005.49999999997</v>
      </c>
      <c r="CY9" s="33">
        <f t="shared" si="15"/>
        <v>0</v>
      </c>
      <c r="CZ9" s="33">
        <f t="shared" si="16"/>
        <v>1</v>
      </c>
      <c r="DA9" s="101">
        <f>SUM(DA10:DA11)</f>
        <v>106744.13333333333</v>
      </c>
      <c r="DB9" s="104">
        <v>848</v>
      </c>
      <c r="DC9" s="48">
        <f t="shared" si="17"/>
        <v>738.6333333333605</v>
      </c>
      <c r="DD9" s="29">
        <f>DA9+DB9-CX9</f>
        <v>1586.6333333333605</v>
      </c>
      <c r="DE9" s="920"/>
      <c r="DF9" s="876">
        <v>3</v>
      </c>
      <c r="DG9" s="1" t="s">
        <v>149</v>
      </c>
      <c r="DH9" s="47">
        <f>SUM(DH10:DH11)</f>
        <v>96268</v>
      </c>
      <c r="DI9" s="101">
        <f>SUM(DI10:DI11)</f>
        <v>0</v>
      </c>
      <c r="DJ9" s="108">
        <f>SUM(DJ10:DJ11)</f>
        <v>0</v>
      </c>
      <c r="DK9" s="101">
        <f>SUM(DK10:DK11)</f>
        <v>0</v>
      </c>
      <c r="DL9" s="3"/>
      <c r="DM9" s="91">
        <f>SUM(DM10:DM11)</f>
        <v>96268</v>
      </c>
      <c r="DN9" s="33">
        <f t="shared" si="18"/>
        <v>0</v>
      </c>
      <c r="DO9" s="33">
        <f t="shared" si="19"/>
        <v>1</v>
      </c>
      <c r="DP9" s="101">
        <f>SUM(DP10:DP11)</f>
        <v>98846.666666666672</v>
      </c>
      <c r="DQ9" s="104">
        <v>848</v>
      </c>
      <c r="DR9" s="48">
        <f t="shared" si="20"/>
        <v>2578.6666666666715</v>
      </c>
      <c r="DS9" s="29">
        <f>DP9+DQ9-DM9</f>
        <v>3426.6666666666715</v>
      </c>
      <c r="DT9" s="921"/>
      <c r="DU9" s="876">
        <v>3</v>
      </c>
      <c r="DV9" s="1" t="s">
        <v>149</v>
      </c>
      <c r="DW9" s="47">
        <f>SUM(DW10:DW11)</f>
        <v>104592.1</v>
      </c>
      <c r="DX9" s="101">
        <f>SUM(DX10:DX11)</f>
        <v>0</v>
      </c>
      <c r="DY9" s="108">
        <f>SUM(DY10:DY11)</f>
        <v>0</v>
      </c>
      <c r="DZ9" s="101">
        <f>SUM(DZ10:DZ11)</f>
        <v>0</v>
      </c>
      <c r="EA9" s="2"/>
      <c r="EB9" s="91">
        <f>SUM(EB10:EB11)</f>
        <v>104592.1</v>
      </c>
      <c r="EC9" s="33">
        <f t="shared" si="21"/>
        <v>0</v>
      </c>
      <c r="ED9" s="33">
        <f t="shared" si="22"/>
        <v>1</v>
      </c>
      <c r="EE9" s="101">
        <f>SUM(EE10:EE11)</f>
        <v>103283.4</v>
      </c>
      <c r="EF9" s="104">
        <v>848</v>
      </c>
      <c r="EG9" s="48">
        <f t="shared" si="23"/>
        <v>-1308.7000000000116</v>
      </c>
      <c r="EH9" s="29">
        <f>EE9+EF9-EB9</f>
        <v>-460.70000000001164</v>
      </c>
      <c r="EI9" s="941"/>
      <c r="EJ9" s="876">
        <v>3</v>
      </c>
      <c r="EK9" s="1" t="s">
        <v>149</v>
      </c>
      <c r="EL9" s="3">
        <f>SUM(EL10:EL11)</f>
        <v>104056.81666666665</v>
      </c>
      <c r="EM9" s="101">
        <f>SUM(EM10:EM11)</f>
        <v>0</v>
      </c>
      <c r="EN9" s="108">
        <f>SUM(EN10:EN11)</f>
        <v>0</v>
      </c>
      <c r="EO9" s="101">
        <f>SUM(EO10:EO11)</f>
        <v>0</v>
      </c>
      <c r="EP9" s="2"/>
      <c r="EQ9" s="91">
        <f>SUM(EQ10:EQ11)</f>
        <v>104056.81666666665</v>
      </c>
      <c r="ER9" s="33">
        <f t="shared" si="24"/>
        <v>0</v>
      </c>
      <c r="ES9" s="33">
        <f t="shared" si="25"/>
        <v>1</v>
      </c>
      <c r="ET9" s="101">
        <f>SUM(ET10:ET11)</f>
        <v>104790.13333333333</v>
      </c>
      <c r="EU9" s="104">
        <v>848</v>
      </c>
      <c r="EV9" s="48">
        <f t="shared" si="26"/>
        <v>733.31666666668025</v>
      </c>
      <c r="EW9" s="29">
        <f>ET9+EU9-EQ9</f>
        <v>1581.3166666666802</v>
      </c>
      <c r="EX9" s="925"/>
      <c r="EY9" s="876">
        <v>3</v>
      </c>
      <c r="EZ9" s="1" t="s">
        <v>149</v>
      </c>
      <c r="FA9" s="3">
        <f>SUM(FA10:FA11)</f>
        <v>104686.53333333333</v>
      </c>
      <c r="FB9" s="101">
        <f>SUM(FB10:FB11)</f>
        <v>0</v>
      </c>
      <c r="FC9" s="108">
        <f>SUM(FC10:FC11)</f>
        <v>0</v>
      </c>
      <c r="FD9" s="101">
        <f>SUM(FD10:FD11)</f>
        <v>0</v>
      </c>
      <c r="FE9" s="2"/>
      <c r="FF9" s="91">
        <f>SUM(FF10:FF11)</f>
        <v>104686.53333333333</v>
      </c>
      <c r="FG9" s="33">
        <f t="shared" si="27"/>
        <v>0</v>
      </c>
      <c r="FH9" s="33">
        <f t="shared" si="28"/>
        <v>1</v>
      </c>
      <c r="FI9" s="101">
        <f>SUM(FI10:FI11)</f>
        <v>107280.4</v>
      </c>
      <c r="FJ9" s="104">
        <v>848</v>
      </c>
      <c r="FK9" s="48">
        <f t="shared" si="29"/>
        <v>2593.8666666666686</v>
      </c>
      <c r="FL9" s="29">
        <f>FI9+FJ9-FF9</f>
        <v>3441.8666666666686</v>
      </c>
      <c r="FM9" s="927"/>
      <c r="FN9" s="932">
        <v>3</v>
      </c>
      <c r="FO9" s="1" t="s">
        <v>149</v>
      </c>
      <c r="FP9" s="3">
        <f>SUM(FP10:FP11)</f>
        <v>102119.88333333333</v>
      </c>
      <c r="FQ9" s="101">
        <f>SUM(FQ10:FQ11)</f>
        <v>0</v>
      </c>
      <c r="FR9" s="108">
        <f>SUM(FR10:FR11)</f>
        <v>0</v>
      </c>
      <c r="FS9" s="101">
        <f>SUM(FS10:FS11)</f>
        <v>0</v>
      </c>
      <c r="FT9" s="3"/>
      <c r="FU9" s="91">
        <f>SUM(FU10:FU11)</f>
        <v>102119.88333333333</v>
      </c>
      <c r="FV9" s="33">
        <f t="shared" si="30"/>
        <v>0</v>
      </c>
      <c r="FW9" s="33">
        <f t="shared" si="31"/>
        <v>1</v>
      </c>
      <c r="FX9" s="101">
        <f>SUM(FX10:FX11)</f>
        <v>100839.4</v>
      </c>
      <c r="FY9" s="104">
        <v>848</v>
      </c>
      <c r="FZ9" s="48">
        <f t="shared" si="32"/>
        <v>-1280.4833333333372</v>
      </c>
      <c r="GA9" s="29">
        <f>FX9+FY9-FU9</f>
        <v>-432.48333333333721</v>
      </c>
    </row>
    <row r="10" spans="1:183">
      <c r="A10" s="906"/>
      <c r="B10" s="907">
        <v>4</v>
      </c>
      <c r="C10" s="876" t="s">
        <v>150</v>
      </c>
      <c r="D10" s="942">
        <v>56589.216666666667</v>
      </c>
      <c r="E10" s="928">
        <v>199.3</v>
      </c>
      <c r="F10" s="943"/>
      <c r="G10" s="106">
        <v>574</v>
      </c>
      <c r="H10" s="876"/>
      <c r="I10" s="93">
        <f>D10+E10+F10+H10-G10</f>
        <v>56214.51666666667</v>
      </c>
      <c r="J10" s="929">
        <v>51484</v>
      </c>
      <c r="K10" s="930">
        <f>(G10-H10)/(D10+E10+F10)</f>
        <v>1.0107677285695376E-2</v>
      </c>
      <c r="L10" s="930">
        <f>1-((G10-H10)/(D10+E10+F10))</f>
        <v>0.98989232271430461</v>
      </c>
      <c r="M10" s="876">
        <v>57195</v>
      </c>
      <c r="N10" s="876"/>
      <c r="O10" s="931">
        <f t="shared" si="0"/>
        <v>980.48333333332994</v>
      </c>
      <c r="P10" s="918"/>
      <c r="Q10" s="909"/>
      <c r="R10" s="932">
        <v>4</v>
      </c>
      <c r="S10" s="876" t="s">
        <v>150</v>
      </c>
      <c r="T10" s="933">
        <v>56861.05</v>
      </c>
      <c r="U10" s="933">
        <v>66.566666666666677</v>
      </c>
      <c r="V10" s="8">
        <v>0</v>
      </c>
      <c r="W10" s="106">
        <v>496</v>
      </c>
      <c r="X10" s="876"/>
      <c r="Y10" s="93">
        <f>T10+U10+V10+X10-W10</f>
        <v>56431.616666666669</v>
      </c>
      <c r="Z10" s="929">
        <v>57070</v>
      </c>
      <c r="AA10" s="930">
        <f t="shared" si="1"/>
        <v>8.7128186466029819E-3</v>
      </c>
      <c r="AB10" s="930">
        <f>1-(W10/(T10+U10+V10))</f>
        <v>0.991287181353397</v>
      </c>
      <c r="AC10" s="876">
        <v>57442</v>
      </c>
      <c r="AD10" s="876"/>
      <c r="AE10" s="931">
        <f t="shared" si="2"/>
        <v>1010.3833333333314</v>
      </c>
      <c r="AF10" s="918"/>
      <c r="AG10" s="911"/>
      <c r="AH10" s="876">
        <v>4</v>
      </c>
      <c r="AI10" s="876" t="s">
        <v>150</v>
      </c>
      <c r="AJ10" s="933">
        <v>53776.733333333337</v>
      </c>
      <c r="AK10" s="933">
        <v>32.933333333333337</v>
      </c>
      <c r="AL10" s="11">
        <v>0</v>
      </c>
      <c r="AM10" s="106">
        <v>530</v>
      </c>
      <c r="AN10" s="876"/>
      <c r="AO10" s="93">
        <f>AJ10+AK10+AL10+AN10-AM10</f>
        <v>53279.666666666672</v>
      </c>
      <c r="AP10" s="934"/>
      <c r="AQ10" s="930">
        <f t="shared" si="3"/>
        <v>9.8495313729255584E-3</v>
      </c>
      <c r="AR10" s="930">
        <f t="shared" si="4"/>
        <v>0.99015046862707445</v>
      </c>
      <c r="AS10" s="876">
        <v>54124</v>
      </c>
      <c r="AT10" s="876"/>
      <c r="AU10" s="931">
        <f t="shared" si="5"/>
        <v>844.33333333332848</v>
      </c>
      <c r="AV10" s="918"/>
      <c r="AW10" s="913"/>
      <c r="AX10" s="932">
        <v>4</v>
      </c>
      <c r="AY10" s="876" t="s">
        <v>150</v>
      </c>
      <c r="AZ10" s="933">
        <v>57753.683333333334</v>
      </c>
      <c r="BA10" s="933">
        <v>46.966666666666661</v>
      </c>
      <c r="BB10" s="11">
        <v>101.76666666666664</v>
      </c>
      <c r="BC10" s="106">
        <v>538</v>
      </c>
      <c r="BD10" s="876"/>
      <c r="BE10" s="93">
        <f>AZ10+BA10+BB10+BD10-BC10</f>
        <v>57364.416666666672</v>
      </c>
      <c r="BF10" s="930">
        <f t="shared" si="6"/>
        <v>9.2914947418717402E-3</v>
      </c>
      <c r="BG10" s="930">
        <f t="shared" si="7"/>
        <v>0.99070850525812826</v>
      </c>
      <c r="BH10" s="876">
        <v>58127</v>
      </c>
      <c r="BI10" s="876"/>
      <c r="BJ10" s="935">
        <f t="shared" si="8"/>
        <v>762.58333333332848</v>
      </c>
      <c r="BK10" s="918"/>
      <c r="BL10" s="914"/>
      <c r="BM10" s="876">
        <v>5</v>
      </c>
      <c r="BN10" s="876" t="s">
        <v>150</v>
      </c>
      <c r="BO10" s="876">
        <v>54031.03333333334</v>
      </c>
      <c r="BP10" s="933"/>
      <c r="BQ10" s="11"/>
      <c r="BR10" s="106"/>
      <c r="BS10" s="430"/>
      <c r="BT10" s="93">
        <f>BO10+BP10+BQ10+BS10-BR10</f>
        <v>54031.03333333334</v>
      </c>
      <c r="BU10" s="930">
        <f t="shared" si="9"/>
        <v>0</v>
      </c>
      <c r="BV10" s="930">
        <f t="shared" si="10"/>
        <v>1</v>
      </c>
      <c r="BW10" s="936">
        <v>54424</v>
      </c>
      <c r="BX10" s="430"/>
      <c r="BY10" s="917">
        <f t="shared" si="11"/>
        <v>392.96666666665988</v>
      </c>
      <c r="BZ10" s="918"/>
      <c r="CA10" s="915"/>
      <c r="CB10" s="876">
        <v>4</v>
      </c>
      <c r="CC10" s="876" t="s">
        <v>150</v>
      </c>
      <c r="CD10" s="933">
        <v>55804.51666666667</v>
      </c>
      <c r="CE10" s="933"/>
      <c r="CF10" s="11"/>
      <c r="CG10" s="106"/>
      <c r="CH10" s="430"/>
      <c r="CI10" s="93">
        <f>CD10+CE10+CF10+CH10-CG10</f>
        <v>55804.51666666667</v>
      </c>
      <c r="CJ10" s="930">
        <f t="shared" si="12"/>
        <v>0</v>
      </c>
      <c r="CK10" s="930">
        <f t="shared" si="13"/>
        <v>1</v>
      </c>
      <c r="CL10" s="430">
        <v>56239.65</v>
      </c>
      <c r="CM10" s="937"/>
      <c r="CN10" s="917">
        <f t="shared" si="14"/>
        <v>435.13333333333139</v>
      </c>
      <c r="CO10" s="918"/>
      <c r="CP10" s="919"/>
      <c r="CQ10" s="876">
        <v>4</v>
      </c>
      <c r="CR10" s="876" t="s">
        <v>150</v>
      </c>
      <c r="CS10" s="933">
        <v>56737.616666666661</v>
      </c>
      <c r="CT10" s="933"/>
      <c r="CU10" s="11"/>
      <c r="CV10" s="106"/>
      <c r="CW10" s="430"/>
      <c r="CX10" s="93">
        <f>CS10+CT10+CU10+CW10-CV10</f>
        <v>56737.616666666661</v>
      </c>
      <c r="CY10" s="930">
        <f t="shared" si="15"/>
        <v>0</v>
      </c>
      <c r="CZ10" s="930">
        <f t="shared" si="16"/>
        <v>1</v>
      </c>
      <c r="DA10" s="936">
        <v>57168.3</v>
      </c>
      <c r="DB10" s="430"/>
      <c r="DC10" s="938">
        <f t="shared" si="17"/>
        <v>430.68333333334158</v>
      </c>
      <c r="DD10" s="939"/>
      <c r="DE10" s="920"/>
      <c r="DF10" s="876">
        <v>4</v>
      </c>
      <c r="DG10" s="876" t="s">
        <v>150</v>
      </c>
      <c r="DH10" s="933">
        <v>51517.26666666667</v>
      </c>
      <c r="DI10" s="933"/>
      <c r="DJ10" s="11"/>
      <c r="DK10" s="106"/>
      <c r="DL10" s="876"/>
      <c r="DM10" s="93">
        <f>DH10+DI10+DJ10+DL10-DK10</f>
        <v>51517.26666666667</v>
      </c>
      <c r="DN10" s="930">
        <f t="shared" si="18"/>
        <v>0</v>
      </c>
      <c r="DO10" s="930">
        <f t="shared" si="19"/>
        <v>1</v>
      </c>
      <c r="DP10" s="940">
        <v>52996</v>
      </c>
      <c r="DQ10" s="876"/>
      <c r="DR10" s="938">
        <f t="shared" si="20"/>
        <v>1478.7333333333299</v>
      </c>
      <c r="DS10" s="939"/>
      <c r="DT10" s="921"/>
      <c r="DU10" s="876">
        <v>4</v>
      </c>
      <c r="DV10" s="876" t="s">
        <v>150</v>
      </c>
      <c r="DW10" s="933">
        <v>56085.883333333339</v>
      </c>
      <c r="DX10" s="933"/>
      <c r="DY10" s="11"/>
      <c r="DZ10" s="106"/>
      <c r="EA10" s="430"/>
      <c r="EB10" s="93">
        <f>DW10+DX10+DY10+EA10-DZ10</f>
        <v>56085.883333333339</v>
      </c>
      <c r="EC10" s="930">
        <f t="shared" si="21"/>
        <v>0</v>
      </c>
      <c r="ED10" s="930">
        <f t="shared" si="22"/>
        <v>1</v>
      </c>
      <c r="EE10" s="936">
        <v>55353.65</v>
      </c>
      <c r="EF10" s="430"/>
      <c r="EG10" s="938">
        <f t="shared" si="23"/>
        <v>-732.23333333333721</v>
      </c>
      <c r="EH10" s="939"/>
      <c r="EI10" s="941"/>
      <c r="EJ10" s="876">
        <v>4</v>
      </c>
      <c r="EK10" s="876" t="s">
        <v>150</v>
      </c>
      <c r="EL10" s="933">
        <v>55628.5</v>
      </c>
      <c r="EM10" s="933"/>
      <c r="EN10" s="11"/>
      <c r="EO10" s="106"/>
      <c r="EP10" s="430"/>
      <c r="EQ10" s="93">
        <f>EL10+EM10+EN10+EP10-EO10</f>
        <v>55628.5</v>
      </c>
      <c r="ER10" s="930">
        <f t="shared" si="24"/>
        <v>0</v>
      </c>
      <c r="ES10" s="930">
        <f t="shared" si="25"/>
        <v>1</v>
      </c>
      <c r="ET10" s="430">
        <v>56069.3</v>
      </c>
      <c r="EU10" s="430"/>
      <c r="EV10" s="938">
        <f t="shared" si="26"/>
        <v>440.80000000000291</v>
      </c>
      <c r="EW10" s="939"/>
      <c r="EX10" s="925"/>
      <c r="EY10" s="876">
        <v>4</v>
      </c>
      <c r="EZ10" s="876" t="s">
        <v>150</v>
      </c>
      <c r="FA10" s="876">
        <v>56137.15</v>
      </c>
      <c r="FB10" s="933"/>
      <c r="FC10" s="11"/>
      <c r="FD10" s="106"/>
      <c r="FE10" s="430"/>
      <c r="FF10" s="93">
        <f>FA10+FB10+FC10+FE10-FD10</f>
        <v>56137.15</v>
      </c>
      <c r="FG10" s="930">
        <f t="shared" si="27"/>
        <v>0</v>
      </c>
      <c r="FH10" s="930">
        <f t="shared" si="28"/>
        <v>1</v>
      </c>
      <c r="FI10" s="936">
        <v>57638.65</v>
      </c>
      <c r="FJ10" s="430"/>
      <c r="FK10" s="938">
        <f t="shared" si="29"/>
        <v>1501.5</v>
      </c>
      <c r="FL10" s="939"/>
      <c r="FM10" s="927"/>
      <c r="FN10" s="932">
        <v>4</v>
      </c>
      <c r="FO10" s="876" t="s">
        <v>150</v>
      </c>
      <c r="FP10" s="876">
        <v>54685.866666666669</v>
      </c>
      <c r="FQ10" s="933"/>
      <c r="FR10" s="11"/>
      <c r="FS10" s="106"/>
      <c r="FT10" s="876"/>
      <c r="FU10" s="93">
        <f>FP10+FQ10+FR10+FT10-FS10</f>
        <v>54685.866666666669</v>
      </c>
      <c r="FV10" s="930">
        <f t="shared" si="30"/>
        <v>0</v>
      </c>
      <c r="FW10" s="930">
        <f t="shared" si="31"/>
        <v>1</v>
      </c>
      <c r="FX10" s="940">
        <v>53981.65</v>
      </c>
      <c r="FY10" s="876"/>
      <c r="FZ10" s="938">
        <f t="shared" si="32"/>
        <v>-704.21666666666715</v>
      </c>
      <c r="GA10" s="939"/>
    </row>
    <row r="11" spans="1:183">
      <c r="A11" s="906"/>
      <c r="B11" s="907">
        <v>5</v>
      </c>
      <c r="C11" s="876" t="s">
        <v>151</v>
      </c>
      <c r="D11" s="942">
        <v>49134.733333333337</v>
      </c>
      <c r="E11" s="928">
        <v>193.23333333333338</v>
      </c>
      <c r="F11" s="943"/>
      <c r="G11" s="106">
        <v>242</v>
      </c>
      <c r="H11" s="876"/>
      <c r="I11" s="93">
        <f>D11+E11+F11+H11-G11</f>
        <v>49085.966666666667</v>
      </c>
      <c r="J11" s="929">
        <v>46795</v>
      </c>
      <c r="K11" s="930">
        <f>(G11-H11)/(D11+E11+F11)</f>
        <v>4.9059390920228483E-3</v>
      </c>
      <c r="L11" s="930">
        <f>1-((G11-H11)/(D11+E11+F11))</f>
        <v>0.99509406090797714</v>
      </c>
      <c r="M11" s="876">
        <v>49576</v>
      </c>
      <c r="N11" s="876"/>
      <c r="O11" s="931">
        <f t="shared" si="0"/>
        <v>490.03333333333285</v>
      </c>
      <c r="P11" s="918"/>
      <c r="Q11" s="909"/>
      <c r="R11" s="932">
        <v>5</v>
      </c>
      <c r="S11" s="876" t="s">
        <v>151</v>
      </c>
      <c r="T11" s="876">
        <v>49350.1</v>
      </c>
      <c r="U11" s="912">
        <v>0</v>
      </c>
      <c r="V11" s="9">
        <v>157.19999999999999</v>
      </c>
      <c r="W11" s="106">
        <v>252</v>
      </c>
      <c r="X11" s="876"/>
      <c r="Y11" s="93">
        <f>T11+U11+V11+X11-W11</f>
        <v>49255.299999999996</v>
      </c>
      <c r="Z11" s="929">
        <v>49539</v>
      </c>
      <c r="AA11" s="930">
        <f t="shared" si="1"/>
        <v>5.0901584210813356E-3</v>
      </c>
      <c r="AB11" s="930">
        <f>1-(W11/(T11+U11+V11))</f>
        <v>0.99490984157891871</v>
      </c>
      <c r="AC11" s="876">
        <v>49794</v>
      </c>
      <c r="AD11" s="876"/>
      <c r="AE11" s="931">
        <f t="shared" si="2"/>
        <v>538.70000000000437</v>
      </c>
      <c r="AF11" s="918"/>
      <c r="AG11" s="911"/>
      <c r="AH11" s="876">
        <v>5</v>
      </c>
      <c r="AI11" s="876" t="s">
        <v>151</v>
      </c>
      <c r="AJ11" s="933">
        <v>46463.18333333332</v>
      </c>
      <c r="AK11" s="944">
        <v>24.85</v>
      </c>
      <c r="AL11" s="13">
        <v>125.35</v>
      </c>
      <c r="AM11" s="106">
        <v>319</v>
      </c>
      <c r="AN11" s="876"/>
      <c r="AO11" s="93">
        <f>AJ11+AK11+AL11+AN11-AM11</f>
        <v>46294.383333333317</v>
      </c>
      <c r="AP11" s="934"/>
      <c r="AQ11" s="930">
        <f t="shared" si="3"/>
        <v>6.8435281283665697E-3</v>
      </c>
      <c r="AR11" s="930">
        <f t="shared" si="4"/>
        <v>0.99315647187163347</v>
      </c>
      <c r="AS11" s="876">
        <v>46706</v>
      </c>
      <c r="AT11" s="876"/>
      <c r="AU11" s="931">
        <f t="shared" si="5"/>
        <v>411.61666666668316</v>
      </c>
      <c r="AV11" s="918"/>
      <c r="AW11" s="913"/>
      <c r="AX11" s="932">
        <v>5</v>
      </c>
      <c r="AY11" s="876" t="s">
        <v>151</v>
      </c>
      <c r="AZ11" s="933">
        <v>50325.05</v>
      </c>
      <c r="BA11" s="944">
        <v>-25.833333333333325</v>
      </c>
      <c r="BB11" s="13">
        <v>256.53333333333342</v>
      </c>
      <c r="BC11" s="106">
        <v>275</v>
      </c>
      <c r="BD11" s="876"/>
      <c r="BE11" s="93">
        <f>AZ11+BA11+BB11+BD11-BC11</f>
        <v>50280.75</v>
      </c>
      <c r="BF11" s="930">
        <f t="shared" si="6"/>
        <v>5.4395395182546E-3</v>
      </c>
      <c r="BG11" s="930">
        <f t="shared" si="7"/>
        <v>0.9945604604817454</v>
      </c>
      <c r="BH11" s="876">
        <v>50584</v>
      </c>
      <c r="BI11" s="876"/>
      <c r="BJ11" s="935">
        <f t="shared" si="8"/>
        <v>303.25</v>
      </c>
      <c r="BK11" s="918"/>
      <c r="BL11" s="914"/>
      <c r="BM11" s="876"/>
      <c r="BN11" s="876" t="s">
        <v>151</v>
      </c>
      <c r="BO11" s="876">
        <v>46669.916666666657</v>
      </c>
      <c r="BP11" s="944"/>
      <c r="BQ11" s="13"/>
      <c r="BR11" s="106"/>
      <c r="BS11" s="430"/>
      <c r="BT11" s="93">
        <f>BO11+BP11+BQ11+BS11-BR11</f>
        <v>46669.916666666657</v>
      </c>
      <c r="BU11" s="930">
        <f t="shared" si="9"/>
        <v>0</v>
      </c>
      <c r="BV11" s="930">
        <f t="shared" si="10"/>
        <v>1</v>
      </c>
      <c r="BW11" s="936">
        <v>46922.666666666672</v>
      </c>
      <c r="BX11" s="430"/>
      <c r="BY11" s="917">
        <f t="shared" si="11"/>
        <v>252.75000000001455</v>
      </c>
      <c r="BZ11" s="918"/>
      <c r="CA11" s="915"/>
      <c r="CB11" s="876">
        <v>5</v>
      </c>
      <c r="CC11" s="876" t="s">
        <v>151</v>
      </c>
      <c r="CD11" s="933">
        <v>48281</v>
      </c>
      <c r="CE11" s="944"/>
      <c r="CF11" s="13"/>
      <c r="CG11" s="106"/>
      <c r="CH11" s="430"/>
      <c r="CI11" s="93">
        <f>CD11+CE11+CF11+CH11-CG11</f>
        <v>48281</v>
      </c>
      <c r="CJ11" s="930">
        <f t="shared" si="12"/>
        <v>0</v>
      </c>
      <c r="CK11" s="930">
        <f t="shared" si="13"/>
        <v>1</v>
      </c>
      <c r="CL11" s="430">
        <v>48569.75</v>
      </c>
      <c r="CM11" s="937"/>
      <c r="CN11" s="917">
        <f t="shared" si="14"/>
        <v>288.75</v>
      </c>
      <c r="CO11" s="918"/>
      <c r="CP11" s="919"/>
      <c r="CQ11" s="876">
        <v>5</v>
      </c>
      <c r="CR11" s="876" t="s">
        <v>151</v>
      </c>
      <c r="CS11" s="933">
        <v>49267.883333333317</v>
      </c>
      <c r="CT11" s="944"/>
      <c r="CU11" s="13"/>
      <c r="CV11" s="106"/>
      <c r="CW11" s="430"/>
      <c r="CX11" s="93">
        <f>CS11+CT11+CU11+CW11-CV11</f>
        <v>49267.883333333317</v>
      </c>
      <c r="CY11" s="930">
        <f t="shared" si="15"/>
        <v>0</v>
      </c>
      <c r="CZ11" s="930">
        <f t="shared" si="16"/>
        <v>1</v>
      </c>
      <c r="DA11" s="936">
        <v>49575.833333333336</v>
      </c>
      <c r="DB11" s="430"/>
      <c r="DC11" s="938">
        <f t="shared" si="17"/>
        <v>307.95000000001892</v>
      </c>
      <c r="DD11" s="939"/>
      <c r="DE11" s="920"/>
      <c r="DF11" s="876">
        <v>5</v>
      </c>
      <c r="DG11" s="876" t="s">
        <v>151</v>
      </c>
      <c r="DH11" s="933">
        <v>44750.733333333323</v>
      </c>
      <c r="DI11" s="944"/>
      <c r="DJ11" s="13"/>
      <c r="DK11" s="106"/>
      <c r="DL11" s="876"/>
      <c r="DM11" s="93">
        <f>DH11+DI11+DJ11+DL11-DK11</f>
        <v>44750.733333333323</v>
      </c>
      <c r="DN11" s="930">
        <f t="shared" si="18"/>
        <v>0</v>
      </c>
      <c r="DO11" s="930">
        <f t="shared" si="19"/>
        <v>1</v>
      </c>
      <c r="DP11" s="940">
        <v>45850.666666666672</v>
      </c>
      <c r="DQ11" s="876"/>
      <c r="DR11" s="938">
        <f t="shared" si="20"/>
        <v>1099.9333333333489</v>
      </c>
      <c r="DS11" s="939"/>
      <c r="DT11" s="921"/>
      <c r="DU11" s="876">
        <v>5</v>
      </c>
      <c r="DV11" s="876" t="s">
        <v>151</v>
      </c>
      <c r="DW11" s="933">
        <v>48506.21666666666</v>
      </c>
      <c r="DX11" s="944"/>
      <c r="DY11" s="13"/>
      <c r="DZ11" s="106"/>
      <c r="EA11" s="430"/>
      <c r="EB11" s="93">
        <f>DW11+DX11+DY11+EA11-DZ11</f>
        <v>48506.21666666666</v>
      </c>
      <c r="EC11" s="930">
        <f t="shared" si="21"/>
        <v>0</v>
      </c>
      <c r="ED11" s="930">
        <f t="shared" si="22"/>
        <v>1</v>
      </c>
      <c r="EE11" s="936">
        <v>47929.75</v>
      </c>
      <c r="EF11" s="430"/>
      <c r="EG11" s="938">
        <f t="shared" si="23"/>
        <v>-576.46666666665988</v>
      </c>
      <c r="EH11" s="939"/>
      <c r="EI11" s="941"/>
      <c r="EJ11" s="876">
        <v>5</v>
      </c>
      <c r="EK11" s="876" t="s">
        <v>151</v>
      </c>
      <c r="EL11" s="933">
        <v>48428.316666666658</v>
      </c>
      <c r="EM11" s="944"/>
      <c r="EN11" s="13"/>
      <c r="EO11" s="106"/>
      <c r="EP11" s="430"/>
      <c r="EQ11" s="93">
        <f>EL11+EM11+EN11+EP11-EO11</f>
        <v>48428.316666666658</v>
      </c>
      <c r="ER11" s="930">
        <f t="shared" si="24"/>
        <v>0</v>
      </c>
      <c r="ES11" s="930">
        <f t="shared" si="25"/>
        <v>1</v>
      </c>
      <c r="ET11" s="430">
        <v>48720.833333333336</v>
      </c>
      <c r="EU11" s="430"/>
      <c r="EV11" s="938">
        <f t="shared" si="26"/>
        <v>292.51666666667734</v>
      </c>
      <c r="EW11" s="939"/>
      <c r="EX11" s="925"/>
      <c r="EY11" s="876">
        <v>5</v>
      </c>
      <c r="EZ11" s="876" t="s">
        <v>151</v>
      </c>
      <c r="FA11" s="876">
        <v>48549.383333333317</v>
      </c>
      <c r="FB11" s="944"/>
      <c r="FC11" s="13"/>
      <c r="FD11" s="106"/>
      <c r="FE11" s="430"/>
      <c r="FF11" s="93">
        <f>FA11+FB11+FC11+FE11-FD11</f>
        <v>48549.383333333317</v>
      </c>
      <c r="FG11" s="930">
        <f t="shared" si="27"/>
        <v>0</v>
      </c>
      <c r="FH11" s="930">
        <f t="shared" si="28"/>
        <v>1</v>
      </c>
      <c r="FI11" s="936">
        <v>49641.75</v>
      </c>
      <c r="FJ11" s="430"/>
      <c r="FK11" s="938">
        <f t="shared" si="29"/>
        <v>1092.3666666666832</v>
      </c>
      <c r="FL11" s="939"/>
      <c r="FM11" s="927"/>
      <c r="FN11" s="932">
        <v>5</v>
      </c>
      <c r="FO11" s="876" t="s">
        <v>151</v>
      </c>
      <c r="FP11" s="876">
        <v>47434.016666666663</v>
      </c>
      <c r="FQ11" s="944"/>
      <c r="FR11" s="13"/>
      <c r="FS11" s="106"/>
      <c r="FT11" s="876"/>
      <c r="FU11" s="93">
        <f>FP11+FQ11+FR11+FT11-FS11</f>
        <v>47434.016666666663</v>
      </c>
      <c r="FV11" s="930">
        <f t="shared" si="30"/>
        <v>0</v>
      </c>
      <c r="FW11" s="930">
        <f t="shared" si="31"/>
        <v>1</v>
      </c>
      <c r="FX11" s="940">
        <v>46857.75</v>
      </c>
      <c r="FY11" s="876"/>
      <c r="FZ11" s="938">
        <f t="shared" si="32"/>
        <v>-576.26666666666279</v>
      </c>
      <c r="GA11" s="939"/>
    </row>
    <row r="12" spans="1:183">
      <c r="A12" s="906"/>
      <c r="B12" s="907"/>
      <c r="C12" s="876"/>
      <c r="D12" s="942"/>
      <c r="E12" s="928"/>
      <c r="F12" s="945"/>
      <c r="G12" s="106"/>
      <c r="H12" s="876"/>
      <c r="I12" s="93"/>
      <c r="J12" s="929"/>
      <c r="K12" s="930"/>
      <c r="L12" s="930"/>
      <c r="M12" s="876"/>
      <c r="N12" s="876"/>
      <c r="O12" s="931"/>
      <c r="P12" s="918"/>
      <c r="Q12" s="909"/>
      <c r="R12" s="932"/>
      <c r="S12" s="876"/>
      <c r="T12" s="876"/>
      <c r="U12" s="912"/>
      <c r="V12" s="9"/>
      <c r="W12" s="106"/>
      <c r="X12" s="876"/>
      <c r="Y12" s="93"/>
      <c r="Z12" s="929"/>
      <c r="AA12" s="930"/>
      <c r="AB12" s="930"/>
      <c r="AC12" s="876"/>
      <c r="AD12" s="876"/>
      <c r="AE12" s="931"/>
      <c r="AF12" s="918"/>
      <c r="AG12" s="911"/>
      <c r="AH12" s="876"/>
      <c r="AI12" s="876"/>
      <c r="AJ12" s="933"/>
      <c r="AK12" s="944"/>
      <c r="AL12" s="13"/>
      <c r="AM12" s="106"/>
      <c r="AN12" s="876"/>
      <c r="AO12" s="93"/>
      <c r="AP12" s="934"/>
      <c r="AQ12" s="930"/>
      <c r="AR12" s="930"/>
      <c r="AS12" s="876"/>
      <c r="AT12" s="876"/>
      <c r="AU12" s="931"/>
      <c r="AV12" s="918"/>
      <c r="AW12" s="913"/>
      <c r="AX12" s="932"/>
      <c r="AY12" s="876"/>
      <c r="AZ12" s="933"/>
      <c r="BA12" s="944"/>
      <c r="BB12" s="13"/>
      <c r="BC12" s="106"/>
      <c r="BD12" s="876"/>
      <c r="BE12" s="93"/>
      <c r="BF12" s="930"/>
      <c r="BG12" s="930"/>
      <c r="BH12" s="876"/>
      <c r="BI12" s="876"/>
      <c r="BJ12" s="935"/>
      <c r="BK12" s="918"/>
      <c r="BL12" s="914"/>
      <c r="BM12" s="876">
        <v>6</v>
      </c>
      <c r="BN12" s="876"/>
      <c r="BO12" s="876"/>
      <c r="BP12" s="944"/>
      <c r="BQ12" s="13"/>
      <c r="BR12" s="106"/>
      <c r="BS12" s="430"/>
      <c r="BT12" s="93"/>
      <c r="BU12" s="930"/>
      <c r="BV12" s="930"/>
      <c r="BW12" s="936"/>
      <c r="BX12" s="430"/>
      <c r="BY12" s="917"/>
      <c r="BZ12" s="918"/>
      <c r="CA12" s="915"/>
      <c r="CB12" s="876"/>
      <c r="CC12" s="876"/>
      <c r="CD12" s="933"/>
      <c r="CE12" s="944"/>
      <c r="CF12" s="13"/>
      <c r="CG12" s="106"/>
      <c r="CH12" s="430"/>
      <c r="CI12" s="93"/>
      <c r="CJ12" s="930"/>
      <c r="CK12" s="930"/>
      <c r="CL12" s="430"/>
      <c r="CM12" s="937"/>
      <c r="CN12" s="917"/>
      <c r="CO12" s="918"/>
      <c r="CP12" s="919"/>
      <c r="CQ12" s="876"/>
      <c r="CR12" s="876"/>
      <c r="CS12" s="933"/>
      <c r="CT12" s="944"/>
      <c r="CU12" s="13"/>
      <c r="CV12" s="106"/>
      <c r="CW12" s="430"/>
      <c r="CX12" s="93"/>
      <c r="CY12" s="930"/>
      <c r="CZ12" s="930"/>
      <c r="DA12" s="936"/>
      <c r="DB12" s="430"/>
      <c r="DC12" s="938"/>
      <c r="DD12" s="939"/>
      <c r="DE12" s="920"/>
      <c r="DF12" s="876"/>
      <c r="DG12" s="876"/>
      <c r="DH12" s="933"/>
      <c r="DI12" s="944"/>
      <c r="DJ12" s="13"/>
      <c r="DK12" s="106"/>
      <c r="DL12" s="876"/>
      <c r="DM12" s="93"/>
      <c r="DN12" s="930"/>
      <c r="DO12" s="930"/>
      <c r="DP12" s="940"/>
      <c r="DQ12" s="876"/>
      <c r="DR12" s="938"/>
      <c r="DS12" s="939"/>
      <c r="DT12" s="921"/>
      <c r="DU12" s="876"/>
      <c r="DV12" s="876"/>
      <c r="DW12" s="933"/>
      <c r="DX12" s="944"/>
      <c r="DY12" s="13"/>
      <c r="DZ12" s="106"/>
      <c r="EA12" s="430"/>
      <c r="EB12" s="93"/>
      <c r="EC12" s="930"/>
      <c r="ED12" s="930"/>
      <c r="EE12" s="936"/>
      <c r="EF12" s="430"/>
      <c r="EG12" s="938"/>
      <c r="EH12" s="939"/>
      <c r="EI12" s="941"/>
      <c r="EJ12" s="876"/>
      <c r="EK12" s="876"/>
      <c r="EL12" s="933"/>
      <c r="EM12" s="944"/>
      <c r="EN12" s="13"/>
      <c r="EO12" s="106"/>
      <c r="EP12" s="430"/>
      <c r="EQ12" s="93"/>
      <c r="ER12" s="930"/>
      <c r="ES12" s="930"/>
      <c r="ET12" s="430"/>
      <c r="EU12" s="430"/>
      <c r="EV12" s="938"/>
      <c r="EW12" s="939"/>
      <c r="EX12" s="925"/>
      <c r="EY12" s="876"/>
      <c r="EZ12" s="876"/>
      <c r="FA12" s="876"/>
      <c r="FB12" s="944"/>
      <c r="FC12" s="13"/>
      <c r="FD12" s="106"/>
      <c r="FE12" s="430"/>
      <c r="FF12" s="93"/>
      <c r="FG12" s="930"/>
      <c r="FH12" s="930"/>
      <c r="FI12" s="936"/>
      <c r="FJ12" s="430"/>
      <c r="FK12" s="938"/>
      <c r="FL12" s="939"/>
      <c r="FM12" s="927"/>
      <c r="FN12" s="932"/>
      <c r="FO12" s="876"/>
      <c r="FP12" s="876"/>
      <c r="FQ12" s="944"/>
      <c r="FR12" s="13"/>
      <c r="FS12" s="106"/>
      <c r="FT12" s="876"/>
      <c r="FU12" s="93"/>
      <c r="FV12" s="930"/>
      <c r="FW12" s="930"/>
      <c r="FX12" s="940"/>
      <c r="FY12" s="876"/>
      <c r="FZ12" s="938"/>
      <c r="GA12" s="939"/>
    </row>
    <row r="13" spans="1:183">
      <c r="A13" s="906"/>
      <c r="B13" s="907">
        <v>6</v>
      </c>
      <c r="C13" s="1" t="s">
        <v>152</v>
      </c>
      <c r="D13" s="96">
        <f>SUM(D14:D15)</f>
        <v>87082.166666666686</v>
      </c>
      <c r="E13" s="96">
        <f>SUM(E14:E15)</f>
        <v>123.64999999999998</v>
      </c>
      <c r="F13" s="96"/>
      <c r="G13" s="96">
        <f>SUM(G14:G15)</f>
        <v>710</v>
      </c>
      <c r="H13" s="3"/>
      <c r="I13" s="98">
        <f>SUM(I14:I15)</f>
        <v>86495.816666666695</v>
      </c>
      <c r="J13" s="66">
        <f>SUM(J14:J15)</f>
        <v>84345</v>
      </c>
      <c r="K13" s="33">
        <f>(G13-H13)/(D13+E13+F13)</f>
        <v>8.1416587463871374E-3</v>
      </c>
      <c r="L13" s="33">
        <f>1-((G13-H13)/(D13+E13+F13))</f>
        <v>0.99185834125361283</v>
      </c>
      <c r="M13" s="96">
        <f>SUM(M14:M15)</f>
        <v>87462</v>
      </c>
      <c r="N13" s="3">
        <v>848</v>
      </c>
      <c r="O13" s="4">
        <f t="shared" si="0"/>
        <v>966.1833333333052</v>
      </c>
      <c r="P13" s="5">
        <f>M13+N13-I13</f>
        <v>1814.1833333333052</v>
      </c>
      <c r="Q13" s="909"/>
      <c r="R13" s="932">
        <v>6</v>
      </c>
      <c r="S13" s="1" t="s">
        <v>152</v>
      </c>
      <c r="T13" s="96">
        <f>SUM(T14:T15)</f>
        <v>87591.283333333326</v>
      </c>
      <c r="U13" s="96">
        <f>SUM(U14:U15)</f>
        <v>137.58333333333337</v>
      </c>
      <c r="V13" s="110">
        <f>SUM(V14:V15)</f>
        <v>0</v>
      </c>
      <c r="W13" s="96">
        <f>SUM(W14:W15)</f>
        <v>723</v>
      </c>
      <c r="X13" s="3"/>
      <c r="Y13" s="98">
        <f>SUM(Y14:Y15)</f>
        <v>87005.866666666669</v>
      </c>
      <c r="Z13" s="66">
        <f>SUM(Z14:Z15)</f>
        <v>87714</v>
      </c>
      <c r="AA13" s="33">
        <f t="shared" si="1"/>
        <v>8.2413010388826795E-3</v>
      </c>
      <c r="AB13" s="33">
        <f>1-(W13/(T13+U13+V13))</f>
        <v>0.99175869896111735</v>
      </c>
      <c r="AC13" s="96">
        <f>SUM(AC14:AC15)</f>
        <v>87975</v>
      </c>
      <c r="AD13" s="3">
        <v>848</v>
      </c>
      <c r="AE13" s="4">
        <f t="shared" si="2"/>
        <v>969.13333333333139</v>
      </c>
      <c r="AF13" s="5">
        <f>AC13+AD13-Y13</f>
        <v>1817.1333333333314</v>
      </c>
      <c r="AG13" s="911"/>
      <c r="AH13" s="876">
        <v>6</v>
      </c>
      <c r="AI13" s="1" t="s">
        <v>152</v>
      </c>
      <c r="AJ13" s="101">
        <f>SUM(AJ14:AJ15)</f>
        <v>82763.216666666674</v>
      </c>
      <c r="AK13" s="101">
        <f>SUM(AK14:AK15)</f>
        <v>91.283333333333303</v>
      </c>
      <c r="AL13" s="110">
        <f>SUM(AL14:AL15)</f>
        <v>0</v>
      </c>
      <c r="AM13" s="101">
        <f>SUM(AM14:AM15)</f>
        <v>783</v>
      </c>
      <c r="AN13" s="1"/>
      <c r="AO13" s="98">
        <f>SUM(AO14:AO15)</f>
        <v>82071.5</v>
      </c>
      <c r="AP13" s="103">
        <f>SUM(AP14:AP15)</f>
        <v>0</v>
      </c>
      <c r="AQ13" s="33">
        <f t="shared" si="3"/>
        <v>9.4503014320284334E-3</v>
      </c>
      <c r="AR13" s="33">
        <f t="shared" si="4"/>
        <v>0.99054969856797159</v>
      </c>
      <c r="AS13" s="96">
        <f>SUM(AS14:AS15)</f>
        <v>82998</v>
      </c>
      <c r="AT13" s="1">
        <v>848</v>
      </c>
      <c r="AU13" s="4">
        <f t="shared" si="5"/>
        <v>926.5</v>
      </c>
      <c r="AV13" s="5">
        <f>AS13+AT13-AO13</f>
        <v>1774.5</v>
      </c>
      <c r="AW13" s="913"/>
      <c r="AX13" s="932">
        <v>6</v>
      </c>
      <c r="AY13" s="1" t="s">
        <v>152</v>
      </c>
      <c r="AZ13" s="101">
        <f>SUM(AZ14:AZ15)</f>
        <v>88534.766666666692</v>
      </c>
      <c r="BA13" s="101">
        <f>SUM(BA14:BA15)</f>
        <v>132.18333333333337</v>
      </c>
      <c r="BB13" s="110">
        <f>SUM(BB14:BB15)</f>
        <v>0</v>
      </c>
      <c r="BC13" s="101">
        <f>SUM(BC14:BC15)</f>
        <v>692</v>
      </c>
      <c r="BD13" s="3"/>
      <c r="BE13" s="98">
        <f>SUM(BE14:BE15)</f>
        <v>87974.950000000012</v>
      </c>
      <c r="BF13" s="33">
        <f t="shared" si="6"/>
        <v>7.8044863390474102E-3</v>
      </c>
      <c r="BG13" s="33">
        <f t="shared" si="7"/>
        <v>0.9921955136609526</v>
      </c>
      <c r="BH13" s="96">
        <f>SUM(BH14:BH15)</f>
        <v>88785</v>
      </c>
      <c r="BI13" s="1">
        <v>848</v>
      </c>
      <c r="BJ13" s="45">
        <f t="shared" si="8"/>
        <v>810.04999999998836</v>
      </c>
      <c r="BK13" s="5">
        <f>BH13+BI13-BE13</f>
        <v>1658.0499999999884</v>
      </c>
      <c r="BL13" s="914"/>
      <c r="BM13" s="876">
        <v>7</v>
      </c>
      <c r="BN13" s="1" t="s">
        <v>152</v>
      </c>
      <c r="BO13" s="101">
        <f>SUM(BO14:BO15)</f>
        <v>83262</v>
      </c>
      <c r="BP13" s="101">
        <f>SUM(BP14:BP15)</f>
        <v>0</v>
      </c>
      <c r="BQ13" s="110">
        <f>SUM(BQ14:BQ15)</f>
        <v>0</v>
      </c>
      <c r="BR13" s="101">
        <f>SUM(BR14:BR15)</f>
        <v>0</v>
      </c>
      <c r="BS13" s="2"/>
      <c r="BT13" s="98">
        <f>SUM(BT14:BT15)</f>
        <v>83262</v>
      </c>
      <c r="BU13" s="33">
        <f t="shared" si="9"/>
        <v>0</v>
      </c>
      <c r="BV13" s="33">
        <f t="shared" si="10"/>
        <v>1</v>
      </c>
      <c r="BW13" s="101">
        <f>SUM(BW14:BW15)</f>
        <v>83511.186666666676</v>
      </c>
      <c r="BX13" s="1">
        <v>848</v>
      </c>
      <c r="BY13" s="46">
        <f t="shared" si="11"/>
        <v>249.18666666667559</v>
      </c>
      <c r="BZ13" s="918"/>
      <c r="CA13" s="915"/>
      <c r="CB13" s="876">
        <v>6</v>
      </c>
      <c r="CC13" s="1" t="s">
        <v>152</v>
      </c>
      <c r="CD13" s="47">
        <f>SUM(CD14:CD15)</f>
        <v>85865.983333333352</v>
      </c>
      <c r="CE13" s="101">
        <f>SUM(CE14:CE15)</f>
        <v>0</v>
      </c>
      <c r="CF13" s="110">
        <f>SUM(CF14:CF15)</f>
        <v>0</v>
      </c>
      <c r="CG13" s="101">
        <f>SUM(CG14:CG15)</f>
        <v>0</v>
      </c>
      <c r="CH13" s="2"/>
      <c r="CI13" s="91">
        <f>SUM(CI14:CI15)</f>
        <v>85865.983333333352</v>
      </c>
      <c r="CJ13" s="33">
        <f t="shared" si="12"/>
        <v>0</v>
      </c>
      <c r="CK13" s="33">
        <f t="shared" si="13"/>
        <v>1</v>
      </c>
      <c r="CL13" s="101">
        <f>SUM(CL14:CL15)</f>
        <v>86138</v>
      </c>
      <c r="CM13" s="104">
        <v>848</v>
      </c>
      <c r="CN13" s="917">
        <f t="shared" si="14"/>
        <v>272.01666666664823</v>
      </c>
      <c r="CO13" s="918"/>
      <c r="CP13" s="919"/>
      <c r="CQ13" s="876">
        <v>6</v>
      </c>
      <c r="CR13" s="1" t="s">
        <v>152</v>
      </c>
      <c r="CS13" s="47">
        <f>SUM(CS14:CS15)</f>
        <v>87174.666666666657</v>
      </c>
      <c r="CT13" s="101">
        <f>SUM(CT14:CT15)</f>
        <v>0</v>
      </c>
      <c r="CU13" s="110">
        <f>SUM(CU14:CU15)</f>
        <v>0</v>
      </c>
      <c r="CV13" s="101">
        <f>SUM(CV14:CV15)</f>
        <v>0</v>
      </c>
      <c r="CW13" s="2"/>
      <c r="CX13" s="91">
        <f>SUM(CX14:CX15)</f>
        <v>87174.666666666657</v>
      </c>
      <c r="CY13" s="33">
        <f t="shared" si="15"/>
        <v>0</v>
      </c>
      <c r="CZ13" s="33">
        <f t="shared" si="16"/>
        <v>1</v>
      </c>
      <c r="DA13" s="101">
        <f>SUM(DA14:DA15)</f>
        <v>87462</v>
      </c>
      <c r="DB13" s="1">
        <v>848</v>
      </c>
      <c r="DC13" s="48">
        <f t="shared" si="17"/>
        <v>287.33333333334303</v>
      </c>
      <c r="DD13" s="29"/>
      <c r="DE13" s="920"/>
      <c r="DF13" s="876">
        <v>6</v>
      </c>
      <c r="DG13" s="1" t="s">
        <v>152</v>
      </c>
      <c r="DH13" s="47">
        <f>SUM(DH14:DH15)</f>
        <v>79133</v>
      </c>
      <c r="DI13" s="101">
        <f>SUM(DI14:DI15)</f>
        <v>0</v>
      </c>
      <c r="DJ13" s="110">
        <f>SUM(DJ14:DJ15)</f>
        <v>0</v>
      </c>
      <c r="DK13" s="101">
        <f>SUM(DK14:DK15)</f>
        <v>0</v>
      </c>
      <c r="DL13" s="3"/>
      <c r="DM13" s="91">
        <f>SUM(DM14:DM15)</f>
        <v>79133</v>
      </c>
      <c r="DN13" s="33">
        <f t="shared" si="18"/>
        <v>0</v>
      </c>
      <c r="DO13" s="33">
        <f t="shared" si="19"/>
        <v>1</v>
      </c>
      <c r="DP13" s="101">
        <f>SUM(DP14:DP15)</f>
        <v>81182</v>
      </c>
      <c r="DQ13" s="1">
        <v>848</v>
      </c>
      <c r="DR13" s="48">
        <f t="shared" si="20"/>
        <v>2049</v>
      </c>
      <c r="DS13" s="29"/>
      <c r="DT13" s="921"/>
      <c r="DU13" s="876">
        <v>6</v>
      </c>
      <c r="DV13" s="1" t="s">
        <v>152</v>
      </c>
      <c r="DW13" s="47">
        <f>SUM(DW14:DW15)</f>
        <v>86380.666666666701</v>
      </c>
      <c r="DX13" s="101">
        <f>SUM(DX14:DX15)</f>
        <v>0</v>
      </c>
      <c r="DY13" s="110">
        <f>SUM(DY14:DY15)</f>
        <v>0</v>
      </c>
      <c r="DZ13" s="101">
        <f>SUM(DZ14:DZ15)</f>
        <v>0</v>
      </c>
      <c r="EA13" s="2"/>
      <c r="EB13" s="91">
        <f>SUM(EB14:EB15)</f>
        <v>86380.666666666701</v>
      </c>
      <c r="EC13" s="33">
        <f t="shared" si="21"/>
        <v>0</v>
      </c>
      <c r="ED13" s="33">
        <f t="shared" si="22"/>
        <v>1</v>
      </c>
      <c r="EE13" s="101">
        <f>SUM(EE14:EE15)</f>
        <v>84835</v>
      </c>
      <c r="EF13" s="1">
        <v>848</v>
      </c>
      <c r="EG13" s="48">
        <f t="shared" si="23"/>
        <v>-1545.6666666667006</v>
      </c>
      <c r="EH13" s="29"/>
      <c r="EI13" s="941"/>
      <c r="EJ13" s="876">
        <v>6</v>
      </c>
      <c r="EK13" s="1" t="s">
        <v>152</v>
      </c>
      <c r="EL13" s="3">
        <f>SUM(EL14:EL15)</f>
        <v>85371.133333333331</v>
      </c>
      <c r="EM13" s="101">
        <f>SUM(EM14:EM15)</f>
        <v>0</v>
      </c>
      <c r="EN13" s="110">
        <f>SUM(EN14:EN15)</f>
        <v>0</v>
      </c>
      <c r="EO13" s="101">
        <f>SUM(EO14:EO15)</f>
        <v>0</v>
      </c>
      <c r="EP13" s="2"/>
      <c r="EQ13" s="91">
        <f>SUM(EQ14:EQ15)</f>
        <v>85371.133333333331</v>
      </c>
      <c r="ER13" s="33">
        <f t="shared" si="24"/>
        <v>0</v>
      </c>
      <c r="ES13" s="33">
        <f t="shared" si="25"/>
        <v>1</v>
      </c>
      <c r="ET13" s="101">
        <f>SUM(ET14:ET15)</f>
        <v>85646</v>
      </c>
      <c r="EU13" s="1">
        <v>848</v>
      </c>
      <c r="EV13" s="48">
        <f t="shared" si="26"/>
        <v>274.86666666666861</v>
      </c>
      <c r="EW13" s="29"/>
      <c r="EX13" s="925"/>
      <c r="EY13" s="876">
        <v>6</v>
      </c>
      <c r="EZ13" s="1" t="s">
        <v>152</v>
      </c>
      <c r="FA13" s="3">
        <f>SUM(FA14:FA15)</f>
        <v>86414.5</v>
      </c>
      <c r="FB13" s="101">
        <f>SUM(FB14:FB15)</f>
        <v>0</v>
      </c>
      <c r="FC13" s="110">
        <f>SUM(FC14:FC15)</f>
        <v>0</v>
      </c>
      <c r="FD13" s="101">
        <f>SUM(FD14:FD15)</f>
        <v>0</v>
      </c>
      <c r="FE13" s="2"/>
      <c r="FF13" s="91">
        <f>SUM(FF14:FF15)</f>
        <v>86414.5</v>
      </c>
      <c r="FG13" s="33">
        <f t="shared" si="27"/>
        <v>0</v>
      </c>
      <c r="FH13" s="33">
        <f t="shared" si="28"/>
        <v>1</v>
      </c>
      <c r="FI13" s="101">
        <f>SUM(FI14:FI15)</f>
        <v>88466</v>
      </c>
      <c r="FJ13" s="1">
        <v>848</v>
      </c>
      <c r="FK13" s="48">
        <f t="shared" si="29"/>
        <v>2051.5</v>
      </c>
      <c r="FL13" s="29"/>
      <c r="FM13" s="927"/>
      <c r="FN13" s="932">
        <v>6</v>
      </c>
      <c r="FO13" s="1" t="s">
        <v>152</v>
      </c>
      <c r="FP13" s="3">
        <f>SUM(FP14:FP15)</f>
        <v>84056.883333333331</v>
      </c>
      <c r="FQ13" s="101">
        <f>SUM(FQ14:FQ15)</f>
        <v>0</v>
      </c>
      <c r="FR13" s="110">
        <f>SUM(FR14:FR15)</f>
        <v>0</v>
      </c>
      <c r="FS13" s="101">
        <f>SUM(FS14:FS15)</f>
        <v>0</v>
      </c>
      <c r="FT13" s="3"/>
      <c r="FU13" s="91">
        <f>SUM(FU14:FU15)</f>
        <v>84056.883333333331</v>
      </c>
      <c r="FV13" s="33">
        <f t="shared" si="30"/>
        <v>0</v>
      </c>
      <c r="FW13" s="33">
        <f t="shared" si="31"/>
        <v>1</v>
      </c>
      <c r="FX13" s="101">
        <f>SUM(FX14:FX15)</f>
        <v>82505.97099999999</v>
      </c>
      <c r="FY13" s="1">
        <v>848</v>
      </c>
      <c r="FZ13" s="48">
        <f t="shared" si="32"/>
        <v>-1550.9123333333409</v>
      </c>
      <c r="GA13" s="29"/>
    </row>
    <row r="14" spans="1:183">
      <c r="A14" s="906"/>
      <c r="B14" s="907">
        <v>7</v>
      </c>
      <c r="C14" s="876" t="s">
        <v>153</v>
      </c>
      <c r="D14" s="928">
        <v>43651.733333333352</v>
      </c>
      <c r="E14" s="928">
        <v>2.7833333333333332</v>
      </c>
      <c r="F14" s="943"/>
      <c r="G14" s="106">
        <v>224</v>
      </c>
      <c r="H14" s="876"/>
      <c r="I14" s="93">
        <f>D14+E14+F14+H14-G14</f>
        <v>43430.516666666685</v>
      </c>
      <c r="J14" s="929">
        <v>42584</v>
      </c>
      <c r="K14" s="930">
        <f>(G14-H14)/(D14+E14+F14)</f>
        <v>5.1311987190328888E-3</v>
      </c>
      <c r="L14" s="930">
        <f>1-((G14-H14)/(D14+E14+F14))</f>
        <v>0.99486880128096711</v>
      </c>
      <c r="M14" s="876">
        <v>43787</v>
      </c>
      <c r="N14" s="876"/>
      <c r="O14" s="931">
        <f t="shared" si="0"/>
        <v>356.48333333331539</v>
      </c>
      <c r="P14" s="918"/>
      <c r="Q14" s="909"/>
      <c r="R14" s="932">
        <v>7</v>
      </c>
      <c r="S14" s="876" t="s">
        <v>153</v>
      </c>
      <c r="T14" s="933">
        <v>43906.95</v>
      </c>
      <c r="U14" s="876">
        <v>46.2</v>
      </c>
      <c r="V14" s="946"/>
      <c r="W14" s="106">
        <v>275</v>
      </c>
      <c r="X14" s="876"/>
      <c r="Y14" s="93">
        <f>T14+U14+V14+X14-W14</f>
        <v>43678.149999999994</v>
      </c>
      <c r="Z14" s="929">
        <v>43971</v>
      </c>
      <c r="AA14" s="930">
        <f t="shared" si="1"/>
        <v>6.2566619229793546E-3</v>
      </c>
      <c r="AB14" s="930">
        <f>1-(W14/(T14+U14+V14))</f>
        <v>0.99374333807702064</v>
      </c>
      <c r="AC14" s="876">
        <v>44044</v>
      </c>
      <c r="AD14" s="876"/>
      <c r="AE14" s="931">
        <f t="shared" si="2"/>
        <v>365.85000000000582</v>
      </c>
      <c r="AF14" s="918"/>
      <c r="AG14" s="911"/>
      <c r="AH14" s="876">
        <v>7</v>
      </c>
      <c r="AI14" s="876" t="s">
        <v>153</v>
      </c>
      <c r="AJ14" s="933">
        <v>41480.066666666673</v>
      </c>
      <c r="AK14" s="944">
        <v>58.816666666666649</v>
      </c>
      <c r="AL14" s="946"/>
      <c r="AM14" s="106">
        <v>272</v>
      </c>
      <c r="AN14" s="876"/>
      <c r="AO14" s="93">
        <f>AJ14+AK14+AL14+AN14-AM14</f>
        <v>41266.883333333339</v>
      </c>
      <c r="AP14" s="934"/>
      <c r="AQ14" s="930">
        <f t="shared" si="3"/>
        <v>6.5480816568251506E-3</v>
      </c>
      <c r="AR14" s="930">
        <f t="shared" si="4"/>
        <v>0.99345191834317481</v>
      </c>
      <c r="AS14" s="876">
        <v>41539</v>
      </c>
      <c r="AT14" s="876"/>
      <c r="AU14" s="931">
        <f t="shared" si="5"/>
        <v>272.11666666666133</v>
      </c>
      <c r="AV14" s="918"/>
      <c r="AW14" s="913"/>
      <c r="AX14" s="932">
        <v>7</v>
      </c>
      <c r="AY14" s="876" t="s">
        <v>153</v>
      </c>
      <c r="AZ14" s="933">
        <v>44406.55</v>
      </c>
      <c r="BA14" s="944">
        <v>109.9666666666667</v>
      </c>
      <c r="BB14" s="946"/>
      <c r="BC14" s="106">
        <v>266</v>
      </c>
      <c r="BD14" s="876"/>
      <c r="BE14" s="93">
        <f>AZ14+BA14+BB14+BD14-BC14</f>
        <v>44250.51666666667</v>
      </c>
      <c r="BF14" s="930">
        <f t="shared" si="6"/>
        <v>5.975310287455105E-3</v>
      </c>
      <c r="BG14" s="930">
        <f t="shared" si="7"/>
        <v>0.99402468971254487</v>
      </c>
      <c r="BH14" s="876">
        <v>44460</v>
      </c>
      <c r="BI14" s="876"/>
      <c r="BJ14" s="935">
        <f t="shared" si="8"/>
        <v>209.48333333332994</v>
      </c>
      <c r="BK14" s="918"/>
      <c r="BL14" s="914"/>
      <c r="BM14" s="876">
        <v>8</v>
      </c>
      <c r="BN14" s="876" t="s">
        <v>153</v>
      </c>
      <c r="BO14" s="876">
        <v>41728.75</v>
      </c>
      <c r="BP14" s="944"/>
      <c r="BQ14" s="946"/>
      <c r="BR14" s="106"/>
      <c r="BS14" s="430"/>
      <c r="BT14" s="93">
        <f>BO14+BP14+BQ14+BS14-BR14</f>
        <v>41728.75</v>
      </c>
      <c r="BU14" s="930">
        <f t="shared" si="9"/>
        <v>0</v>
      </c>
      <c r="BV14" s="930">
        <f t="shared" si="10"/>
        <v>1</v>
      </c>
      <c r="BW14" s="936">
        <v>41796.186666666668</v>
      </c>
      <c r="BX14" s="430"/>
      <c r="BY14" s="917">
        <f t="shared" si="11"/>
        <v>67.436666666668316</v>
      </c>
      <c r="BZ14" s="918"/>
      <c r="CA14" s="915"/>
      <c r="CB14" s="876">
        <v>7</v>
      </c>
      <c r="CC14" s="876" t="s">
        <v>153</v>
      </c>
      <c r="CD14" s="876">
        <v>43037.183333333349</v>
      </c>
      <c r="CE14" s="944"/>
      <c r="CF14" s="946"/>
      <c r="CG14" s="106"/>
      <c r="CH14" s="430"/>
      <c r="CI14" s="93">
        <f>CD14+CE14+CF14+CH14-CG14</f>
        <v>43037.183333333349</v>
      </c>
      <c r="CJ14" s="930">
        <f t="shared" si="12"/>
        <v>0</v>
      </c>
      <c r="CK14" s="930">
        <f t="shared" si="13"/>
        <v>1</v>
      </c>
      <c r="CL14" s="430">
        <v>43114</v>
      </c>
      <c r="CM14" s="937"/>
      <c r="CN14" s="917">
        <f t="shared" si="14"/>
        <v>76.816666666651145</v>
      </c>
      <c r="CO14" s="918"/>
      <c r="CP14" s="919"/>
      <c r="CQ14" s="876">
        <v>7</v>
      </c>
      <c r="CR14" s="876" t="s">
        <v>153</v>
      </c>
      <c r="CS14" s="876">
        <v>43706.533333333326</v>
      </c>
      <c r="CT14" s="944"/>
      <c r="CU14" s="946"/>
      <c r="CV14" s="106"/>
      <c r="CW14" s="430"/>
      <c r="CX14" s="93">
        <f>CS14+CT14+CU14+CW14-CV14</f>
        <v>43706.533333333326</v>
      </c>
      <c r="CY14" s="930">
        <f t="shared" si="15"/>
        <v>0</v>
      </c>
      <c r="CZ14" s="930">
        <f t="shared" si="16"/>
        <v>1</v>
      </c>
      <c r="DA14" s="430">
        <v>43787</v>
      </c>
      <c r="DB14" s="430"/>
      <c r="DC14" s="938">
        <f t="shared" si="17"/>
        <v>80.466666666674428</v>
      </c>
      <c r="DD14" s="939"/>
      <c r="DE14" s="920"/>
      <c r="DF14" s="876">
        <v>7</v>
      </c>
      <c r="DG14" s="876" t="s">
        <v>153</v>
      </c>
      <c r="DH14" s="933">
        <v>39679.733333333337</v>
      </c>
      <c r="DI14" s="944"/>
      <c r="DJ14" s="946"/>
      <c r="DK14" s="106"/>
      <c r="DL14" s="876"/>
      <c r="DM14" s="93">
        <f>DH14+DI14+DJ14+DL14-DK14</f>
        <v>39679.733333333337</v>
      </c>
      <c r="DN14" s="930">
        <f t="shared" si="18"/>
        <v>0</v>
      </c>
      <c r="DO14" s="930">
        <f t="shared" si="19"/>
        <v>1</v>
      </c>
      <c r="DP14" s="940">
        <v>40637</v>
      </c>
      <c r="DQ14" s="876"/>
      <c r="DR14" s="938">
        <f t="shared" si="20"/>
        <v>957.26666666666279</v>
      </c>
      <c r="DS14" s="939"/>
      <c r="DT14" s="921"/>
      <c r="DU14" s="876">
        <v>7</v>
      </c>
      <c r="DV14" s="876" t="s">
        <v>153</v>
      </c>
      <c r="DW14" s="933">
        <v>43295.33333333335</v>
      </c>
      <c r="DX14" s="944"/>
      <c r="DY14" s="946"/>
      <c r="DZ14" s="106"/>
      <c r="EA14" s="430"/>
      <c r="EB14" s="93">
        <f>DW14+DX14+DY14+EA14-DZ14</f>
        <v>43295.33333333335</v>
      </c>
      <c r="EC14" s="930">
        <f t="shared" si="21"/>
        <v>0</v>
      </c>
      <c r="ED14" s="930">
        <f t="shared" si="22"/>
        <v>1</v>
      </c>
      <c r="EE14" s="936">
        <v>42469</v>
      </c>
      <c r="EF14" s="430"/>
      <c r="EG14" s="938">
        <f t="shared" si="23"/>
        <v>-826.33333333335031</v>
      </c>
      <c r="EH14" s="939"/>
      <c r="EI14" s="941"/>
      <c r="EJ14" s="876">
        <v>7</v>
      </c>
      <c r="EK14" s="876" t="s">
        <v>153</v>
      </c>
      <c r="EL14" s="933">
        <v>42812.233333333323</v>
      </c>
      <c r="EM14" s="944"/>
      <c r="EN14" s="946"/>
      <c r="EO14" s="106"/>
      <c r="EP14" s="430"/>
      <c r="EQ14" s="93">
        <f>EL14+EM14+EN14+EP14-EO14</f>
        <v>42812.233333333323</v>
      </c>
      <c r="ER14" s="930">
        <f t="shared" si="24"/>
        <v>0</v>
      </c>
      <c r="ES14" s="930">
        <f t="shared" si="25"/>
        <v>1</v>
      </c>
      <c r="ET14" s="430">
        <v>42885</v>
      </c>
      <c r="EU14" s="430"/>
      <c r="EV14" s="938">
        <f t="shared" si="26"/>
        <v>72.766666666677338</v>
      </c>
      <c r="EW14" s="939"/>
      <c r="EX14" s="925"/>
      <c r="EY14" s="876">
        <v>7</v>
      </c>
      <c r="EZ14" s="876" t="s">
        <v>153</v>
      </c>
      <c r="FA14" s="876">
        <v>43317.2</v>
      </c>
      <c r="FB14" s="944"/>
      <c r="FC14" s="946"/>
      <c r="FD14" s="106"/>
      <c r="FE14" s="430"/>
      <c r="FF14" s="93">
        <f>FA14+FB14+FC14+FE14-FD14</f>
        <v>43317.2</v>
      </c>
      <c r="FG14" s="930">
        <f t="shared" si="27"/>
        <v>0</v>
      </c>
      <c r="FH14" s="930">
        <f t="shared" si="28"/>
        <v>1</v>
      </c>
      <c r="FI14" s="936">
        <v>44272</v>
      </c>
      <c r="FJ14" s="430"/>
      <c r="FK14" s="938">
        <f t="shared" si="29"/>
        <v>954.80000000000291</v>
      </c>
      <c r="FL14" s="939"/>
      <c r="FM14" s="927"/>
      <c r="FN14" s="932">
        <v>7</v>
      </c>
      <c r="FO14" s="876" t="s">
        <v>153</v>
      </c>
      <c r="FP14" s="876">
        <v>42139.95</v>
      </c>
      <c r="FQ14" s="944"/>
      <c r="FR14" s="946"/>
      <c r="FS14" s="106"/>
      <c r="FT14" s="876"/>
      <c r="FU14" s="93">
        <f>FP14+FQ14+FR14+FT14-FS14</f>
        <v>42139.95</v>
      </c>
      <c r="FV14" s="930">
        <f t="shared" si="30"/>
        <v>0</v>
      </c>
      <c r="FW14" s="930">
        <f t="shared" si="31"/>
        <v>1</v>
      </c>
      <c r="FX14" s="940">
        <v>41310.220999999998</v>
      </c>
      <c r="FY14" s="876"/>
      <c r="FZ14" s="938">
        <f t="shared" si="32"/>
        <v>-829.72899999999936</v>
      </c>
      <c r="GA14" s="939"/>
    </row>
    <row r="15" spans="1:183">
      <c r="A15" s="906"/>
      <c r="B15" s="907">
        <v>8</v>
      </c>
      <c r="C15" s="876" t="s">
        <v>154</v>
      </c>
      <c r="D15" s="928">
        <v>43430.433333333342</v>
      </c>
      <c r="E15" s="928">
        <v>120.86666666666665</v>
      </c>
      <c r="F15" s="943"/>
      <c r="G15" s="106">
        <v>486</v>
      </c>
      <c r="H15" s="876"/>
      <c r="I15" s="93">
        <f>D15+E15+F15+H15-G15</f>
        <v>43065.30000000001</v>
      </c>
      <c r="J15" s="929">
        <v>41761</v>
      </c>
      <c r="K15" s="930">
        <f>(G15-H15)/(D15+E15+F15)</f>
        <v>1.1159253569927875E-2</v>
      </c>
      <c r="L15" s="930">
        <f>1-((G15-H15)/(D15+E15+F15))</f>
        <v>0.98884074643007214</v>
      </c>
      <c r="M15" s="876">
        <v>43675</v>
      </c>
      <c r="N15" s="876"/>
      <c r="O15" s="931">
        <f t="shared" si="0"/>
        <v>609.69999999998981</v>
      </c>
      <c r="P15" s="918"/>
      <c r="Q15" s="909"/>
      <c r="R15" s="932">
        <v>8</v>
      </c>
      <c r="S15" s="876" t="s">
        <v>154</v>
      </c>
      <c r="T15" s="933">
        <v>43684.333333333336</v>
      </c>
      <c r="U15" s="933">
        <v>91.383333333333383</v>
      </c>
      <c r="V15" s="946"/>
      <c r="W15" s="106">
        <v>448</v>
      </c>
      <c r="X15" s="876"/>
      <c r="Y15" s="93">
        <f>T15+U15+V15+X15-W15</f>
        <v>43327.716666666667</v>
      </c>
      <c r="Z15" s="929">
        <v>43743</v>
      </c>
      <c r="AA15" s="930">
        <f t="shared" si="1"/>
        <v>1.023398436652284E-2</v>
      </c>
      <c r="AB15" s="930">
        <f>1-(W15/(T15+U15+V15))</f>
        <v>0.98976601563347721</v>
      </c>
      <c r="AC15" s="876">
        <v>43931</v>
      </c>
      <c r="AD15" s="876"/>
      <c r="AE15" s="931">
        <f t="shared" si="2"/>
        <v>603.28333333333285</v>
      </c>
      <c r="AF15" s="918"/>
      <c r="AG15" s="911"/>
      <c r="AH15" s="876">
        <v>8</v>
      </c>
      <c r="AI15" s="876" t="s">
        <v>154</v>
      </c>
      <c r="AJ15" s="933">
        <v>41283.15</v>
      </c>
      <c r="AK15" s="933">
        <v>32.466666666666654</v>
      </c>
      <c r="AL15" s="946"/>
      <c r="AM15" s="106">
        <v>511</v>
      </c>
      <c r="AN15" s="876"/>
      <c r="AO15" s="93">
        <f>AJ15+AK15+AL15+AN15-AM15</f>
        <v>40804.616666666669</v>
      </c>
      <c r="AP15" s="934"/>
      <c r="AQ15" s="930">
        <f t="shared" si="3"/>
        <v>1.2368204597373793E-2</v>
      </c>
      <c r="AR15" s="930">
        <f t="shared" si="4"/>
        <v>0.98763179540262624</v>
      </c>
      <c r="AS15" s="876">
        <v>41459</v>
      </c>
      <c r="AT15" s="876"/>
      <c r="AU15" s="931">
        <f t="shared" si="5"/>
        <v>654.38333333333139</v>
      </c>
      <c r="AV15" s="918"/>
      <c r="AW15" s="913"/>
      <c r="AX15" s="932">
        <v>8</v>
      </c>
      <c r="AY15" s="876" t="s">
        <v>154</v>
      </c>
      <c r="AZ15" s="933">
        <v>44128.216666666682</v>
      </c>
      <c r="BA15" s="933">
        <v>22.216666666666665</v>
      </c>
      <c r="BB15" s="946"/>
      <c r="BC15" s="106">
        <v>426</v>
      </c>
      <c r="BD15" s="876"/>
      <c r="BE15" s="93">
        <f>AZ15+BA15+BB15+BD15-BC15</f>
        <v>43724.433333333349</v>
      </c>
      <c r="BF15" s="930">
        <f t="shared" si="6"/>
        <v>9.6488294188127981E-3</v>
      </c>
      <c r="BG15" s="930">
        <f t="shared" si="7"/>
        <v>0.99035117058118716</v>
      </c>
      <c r="BH15" s="876">
        <v>44325</v>
      </c>
      <c r="BI15" s="876"/>
      <c r="BJ15" s="935">
        <f t="shared" si="8"/>
        <v>600.56666666665114</v>
      </c>
      <c r="BK15" s="918"/>
      <c r="BL15" s="914"/>
      <c r="BM15" s="876"/>
      <c r="BN15" s="876" t="s">
        <v>154</v>
      </c>
      <c r="BO15" s="876">
        <v>41533.25</v>
      </c>
      <c r="BP15" s="933"/>
      <c r="BQ15" s="946"/>
      <c r="BR15" s="106"/>
      <c r="BS15" s="430"/>
      <c r="BT15" s="93">
        <f>BO15+BP15+BQ15+BS15-BR15</f>
        <v>41533.25</v>
      </c>
      <c r="BU15" s="930">
        <f t="shared" si="9"/>
        <v>0</v>
      </c>
      <c r="BV15" s="930">
        <f t="shared" si="10"/>
        <v>1</v>
      </c>
      <c r="BW15" s="430">
        <v>41715</v>
      </c>
      <c r="BX15" s="430"/>
      <c r="BY15" s="917">
        <f t="shared" si="11"/>
        <v>181.75</v>
      </c>
      <c r="BZ15" s="918"/>
      <c r="CA15" s="915"/>
      <c r="CB15" s="876">
        <v>8</v>
      </c>
      <c r="CC15" s="876" t="s">
        <v>154</v>
      </c>
      <c r="CD15" s="876">
        <v>42828.800000000003</v>
      </c>
      <c r="CE15" s="933"/>
      <c r="CF15" s="946"/>
      <c r="CG15" s="106"/>
      <c r="CH15" s="430"/>
      <c r="CI15" s="93">
        <f>CD15+CE15+CF15+CH15-CG15</f>
        <v>42828.800000000003</v>
      </c>
      <c r="CJ15" s="930">
        <f t="shared" si="12"/>
        <v>0</v>
      </c>
      <c r="CK15" s="930">
        <f t="shared" si="13"/>
        <v>1</v>
      </c>
      <c r="CL15" s="430">
        <v>43024</v>
      </c>
      <c r="CM15" s="937"/>
      <c r="CN15" s="917">
        <f t="shared" si="14"/>
        <v>195.19999999999709</v>
      </c>
      <c r="CO15" s="918"/>
      <c r="CP15" s="919"/>
      <c r="CQ15" s="876">
        <v>8</v>
      </c>
      <c r="CR15" s="876" t="s">
        <v>154</v>
      </c>
      <c r="CS15" s="876">
        <v>43468.133333333339</v>
      </c>
      <c r="CT15" s="933"/>
      <c r="CU15" s="946"/>
      <c r="CV15" s="106"/>
      <c r="CW15" s="430"/>
      <c r="CX15" s="93">
        <f>CS15+CT15+CU15+CW15-CV15</f>
        <v>43468.133333333339</v>
      </c>
      <c r="CY15" s="930">
        <f t="shared" si="15"/>
        <v>0</v>
      </c>
      <c r="CZ15" s="930">
        <f t="shared" si="16"/>
        <v>1</v>
      </c>
      <c r="DA15" s="430">
        <v>43675</v>
      </c>
      <c r="DB15" s="430"/>
      <c r="DC15" s="938">
        <f t="shared" si="17"/>
        <v>206.86666666666133</v>
      </c>
      <c r="DD15" s="939"/>
      <c r="DE15" s="920"/>
      <c r="DF15" s="876">
        <v>8</v>
      </c>
      <c r="DG15" s="876" t="s">
        <v>154</v>
      </c>
      <c r="DH15" s="933">
        <v>39453.26666666667</v>
      </c>
      <c r="DI15" s="933"/>
      <c r="DJ15" s="946"/>
      <c r="DK15" s="106"/>
      <c r="DL15" s="876"/>
      <c r="DM15" s="93">
        <f>DH15+DI15+DJ15+DL15-DK15</f>
        <v>39453.26666666667</v>
      </c>
      <c r="DN15" s="930">
        <f t="shared" si="18"/>
        <v>0</v>
      </c>
      <c r="DO15" s="930">
        <f t="shared" si="19"/>
        <v>1</v>
      </c>
      <c r="DP15" s="940">
        <v>40545</v>
      </c>
      <c r="DQ15" s="876"/>
      <c r="DR15" s="938">
        <f t="shared" si="20"/>
        <v>1091.7333333333299</v>
      </c>
      <c r="DS15" s="939"/>
      <c r="DT15" s="921"/>
      <c r="DU15" s="876">
        <v>8</v>
      </c>
      <c r="DV15" s="876" t="s">
        <v>154</v>
      </c>
      <c r="DW15" s="933">
        <v>43085.33333333335</v>
      </c>
      <c r="DX15" s="933"/>
      <c r="DY15" s="946"/>
      <c r="DZ15" s="106"/>
      <c r="EA15" s="430"/>
      <c r="EB15" s="93">
        <f>DW15+DX15+DY15+EA15-DZ15</f>
        <v>43085.33333333335</v>
      </c>
      <c r="EC15" s="930">
        <f t="shared" si="21"/>
        <v>0</v>
      </c>
      <c r="ED15" s="930">
        <f t="shared" si="22"/>
        <v>1</v>
      </c>
      <c r="EE15" s="936">
        <v>42366</v>
      </c>
      <c r="EF15" s="430"/>
      <c r="EG15" s="938">
        <f t="shared" si="23"/>
        <v>-719.33333333335031</v>
      </c>
      <c r="EH15" s="939"/>
      <c r="EI15" s="941"/>
      <c r="EJ15" s="876">
        <v>8</v>
      </c>
      <c r="EK15" s="876" t="s">
        <v>154</v>
      </c>
      <c r="EL15" s="933">
        <v>42558.9</v>
      </c>
      <c r="EM15" s="933"/>
      <c r="EN15" s="946"/>
      <c r="EO15" s="106"/>
      <c r="EP15" s="430"/>
      <c r="EQ15" s="93">
        <f>EL15+EM15+EN15+EP15-EO15</f>
        <v>42558.9</v>
      </c>
      <c r="ER15" s="930">
        <f t="shared" si="24"/>
        <v>0</v>
      </c>
      <c r="ES15" s="930">
        <f t="shared" si="25"/>
        <v>1</v>
      </c>
      <c r="ET15" s="430">
        <v>42761</v>
      </c>
      <c r="EU15" s="430"/>
      <c r="EV15" s="938">
        <f t="shared" si="26"/>
        <v>202.09999999999854</v>
      </c>
      <c r="EW15" s="939"/>
      <c r="EX15" s="925"/>
      <c r="EY15" s="876">
        <v>8</v>
      </c>
      <c r="EZ15" s="876" t="s">
        <v>154</v>
      </c>
      <c r="FA15" s="876">
        <v>43097.3</v>
      </c>
      <c r="FB15" s="933"/>
      <c r="FC15" s="946"/>
      <c r="FD15" s="106"/>
      <c r="FE15" s="430"/>
      <c r="FF15" s="93">
        <f>FA15+FB15+FC15+FE15-FD15</f>
        <v>43097.3</v>
      </c>
      <c r="FG15" s="930">
        <f t="shared" si="27"/>
        <v>0</v>
      </c>
      <c r="FH15" s="930">
        <f t="shared" si="28"/>
        <v>1</v>
      </c>
      <c r="FI15" s="936">
        <v>44194</v>
      </c>
      <c r="FJ15" s="430"/>
      <c r="FK15" s="938">
        <f t="shared" si="29"/>
        <v>1096.6999999999971</v>
      </c>
      <c r="FL15" s="939"/>
      <c r="FM15" s="927"/>
      <c r="FN15" s="932">
        <v>8</v>
      </c>
      <c r="FO15" s="876" t="s">
        <v>154</v>
      </c>
      <c r="FP15" s="876">
        <v>41916.933333333342</v>
      </c>
      <c r="FQ15" s="933"/>
      <c r="FR15" s="946"/>
      <c r="FS15" s="106"/>
      <c r="FT15" s="876"/>
      <c r="FU15" s="93">
        <f>FP15+FQ15+FR15+FT15-FS15</f>
        <v>41916.933333333342</v>
      </c>
      <c r="FV15" s="930">
        <f t="shared" si="30"/>
        <v>0</v>
      </c>
      <c r="FW15" s="930">
        <f t="shared" si="31"/>
        <v>1</v>
      </c>
      <c r="FX15" s="940">
        <v>41195.75</v>
      </c>
      <c r="FY15" s="876"/>
      <c r="FZ15" s="938">
        <f t="shared" si="32"/>
        <v>-721.18333333334158</v>
      </c>
      <c r="GA15" s="939"/>
    </row>
    <row r="16" spans="1:183">
      <c r="A16" s="906"/>
      <c r="B16" s="907"/>
      <c r="C16" s="876"/>
      <c r="D16" s="928"/>
      <c r="E16" s="928"/>
      <c r="F16" s="945"/>
      <c r="G16" s="106"/>
      <c r="H16" s="876"/>
      <c r="I16" s="93"/>
      <c r="J16" s="929"/>
      <c r="K16" s="930"/>
      <c r="L16" s="930"/>
      <c r="M16" s="876"/>
      <c r="N16" s="876"/>
      <c r="O16" s="931"/>
      <c r="P16" s="918"/>
      <c r="Q16" s="909"/>
      <c r="R16" s="932"/>
      <c r="S16" s="876"/>
      <c r="T16" s="933"/>
      <c r="U16" s="933"/>
      <c r="V16" s="912"/>
      <c r="W16" s="106"/>
      <c r="X16" s="876"/>
      <c r="Y16" s="93"/>
      <c r="Z16" s="929"/>
      <c r="AA16" s="930"/>
      <c r="AB16" s="930"/>
      <c r="AC16" s="876"/>
      <c r="AD16" s="876"/>
      <c r="AE16" s="931"/>
      <c r="AF16" s="918"/>
      <c r="AG16" s="911"/>
      <c r="AH16" s="876"/>
      <c r="AI16" s="876"/>
      <c r="AJ16" s="933"/>
      <c r="AK16" s="933"/>
      <c r="AL16" s="912"/>
      <c r="AM16" s="106"/>
      <c r="AN16" s="876"/>
      <c r="AO16" s="93"/>
      <c r="AP16" s="934"/>
      <c r="AQ16" s="930"/>
      <c r="AR16" s="930"/>
      <c r="AS16" s="876"/>
      <c r="AT16" s="876"/>
      <c r="AU16" s="931"/>
      <c r="AV16" s="918"/>
      <c r="AW16" s="913"/>
      <c r="AX16" s="932"/>
      <c r="AY16" s="876"/>
      <c r="AZ16" s="933"/>
      <c r="BA16" s="933"/>
      <c r="BB16" s="912"/>
      <c r="BC16" s="106"/>
      <c r="BD16" s="876"/>
      <c r="BE16" s="93"/>
      <c r="BF16" s="930"/>
      <c r="BG16" s="930"/>
      <c r="BH16" s="876"/>
      <c r="BI16" s="876"/>
      <c r="BJ16" s="935"/>
      <c r="BK16" s="918"/>
      <c r="BL16" s="914"/>
      <c r="BM16" s="912">
        <v>9</v>
      </c>
      <c r="BN16" s="876"/>
      <c r="BO16" s="876"/>
      <c r="BP16" s="933"/>
      <c r="BQ16" s="912"/>
      <c r="BR16" s="106"/>
      <c r="BS16" s="430"/>
      <c r="BT16" s="93"/>
      <c r="BU16" s="930"/>
      <c r="BV16" s="930"/>
      <c r="BW16" s="430"/>
      <c r="BX16" s="430"/>
      <c r="BY16" s="917"/>
      <c r="BZ16" s="918"/>
      <c r="CA16" s="915"/>
      <c r="CB16" s="876"/>
      <c r="CC16" s="876"/>
      <c r="CD16" s="876"/>
      <c r="CE16" s="933"/>
      <c r="CF16" s="912"/>
      <c r="CG16" s="106"/>
      <c r="CH16" s="430"/>
      <c r="CI16" s="93"/>
      <c r="CJ16" s="930"/>
      <c r="CK16" s="930"/>
      <c r="CL16" s="430"/>
      <c r="CM16" s="937"/>
      <c r="CN16" s="917"/>
      <c r="CO16" s="918"/>
      <c r="CP16" s="919"/>
      <c r="CQ16" s="876"/>
      <c r="CR16" s="876"/>
      <c r="CS16" s="876"/>
      <c r="CT16" s="933"/>
      <c r="CU16" s="912"/>
      <c r="CV16" s="106"/>
      <c r="CW16" s="430"/>
      <c r="CX16" s="93"/>
      <c r="CY16" s="930"/>
      <c r="CZ16" s="930"/>
      <c r="DA16" s="430"/>
      <c r="DB16" s="430"/>
      <c r="DC16" s="938"/>
      <c r="DD16" s="939"/>
      <c r="DE16" s="920"/>
      <c r="DF16" s="876"/>
      <c r="DG16" s="876"/>
      <c r="DH16" s="933"/>
      <c r="DI16" s="933"/>
      <c r="DJ16" s="912"/>
      <c r="DK16" s="106"/>
      <c r="DL16" s="876"/>
      <c r="DM16" s="93"/>
      <c r="DN16" s="930"/>
      <c r="DO16" s="930"/>
      <c r="DP16" s="940"/>
      <c r="DQ16" s="876"/>
      <c r="DR16" s="938"/>
      <c r="DS16" s="939"/>
      <c r="DT16" s="921"/>
      <c r="DU16" s="876"/>
      <c r="DV16" s="876"/>
      <c r="DW16" s="933"/>
      <c r="DX16" s="933"/>
      <c r="DY16" s="912"/>
      <c r="DZ16" s="106"/>
      <c r="EA16" s="430"/>
      <c r="EB16" s="93"/>
      <c r="EC16" s="930"/>
      <c r="ED16" s="930"/>
      <c r="EE16" s="936"/>
      <c r="EF16" s="430"/>
      <c r="EG16" s="938"/>
      <c r="EH16" s="939"/>
      <c r="EI16" s="941"/>
      <c r="EJ16" s="876"/>
      <c r="EK16" s="876"/>
      <c r="EL16" s="933"/>
      <c r="EM16" s="933"/>
      <c r="EN16" s="912"/>
      <c r="EO16" s="106"/>
      <c r="EP16" s="430"/>
      <c r="EQ16" s="93"/>
      <c r="ER16" s="930"/>
      <c r="ES16" s="930"/>
      <c r="ET16" s="430"/>
      <c r="EU16" s="430"/>
      <c r="EV16" s="938"/>
      <c r="EW16" s="939"/>
      <c r="EX16" s="925"/>
      <c r="EY16" s="876"/>
      <c r="EZ16" s="876"/>
      <c r="FA16" s="876"/>
      <c r="FB16" s="933"/>
      <c r="FC16" s="912"/>
      <c r="FD16" s="106"/>
      <c r="FE16" s="430"/>
      <c r="FF16" s="93"/>
      <c r="FG16" s="930"/>
      <c r="FH16" s="930"/>
      <c r="FI16" s="936"/>
      <c r="FJ16" s="430"/>
      <c r="FK16" s="938"/>
      <c r="FL16" s="939"/>
      <c r="FM16" s="927"/>
      <c r="FN16" s="932"/>
      <c r="FO16" s="876"/>
      <c r="FP16" s="876"/>
      <c r="FQ16" s="933"/>
      <c r="FR16" s="912"/>
      <c r="FS16" s="106"/>
      <c r="FT16" s="876"/>
      <c r="FU16" s="93"/>
      <c r="FV16" s="930"/>
      <c r="FW16" s="930"/>
      <c r="FX16" s="940"/>
      <c r="FY16" s="876"/>
      <c r="FZ16" s="938"/>
      <c r="GA16" s="939"/>
    </row>
    <row r="17" spans="1:183">
      <c r="A17" s="906"/>
      <c r="B17" s="907">
        <v>9</v>
      </c>
      <c r="C17" s="1" t="s">
        <v>155</v>
      </c>
      <c r="D17" s="96">
        <f>SUM(D18:D19)</f>
        <v>138776.16666666666</v>
      </c>
      <c r="E17" s="96">
        <f>SUM(E18:E19)</f>
        <v>296.48333333333329</v>
      </c>
      <c r="F17" s="102">
        <f>SUM(F18:F19)</f>
        <v>295.89999999999998</v>
      </c>
      <c r="G17" s="96">
        <f>SUM(G18:G19)</f>
        <v>1261</v>
      </c>
      <c r="H17" s="3"/>
      <c r="I17" s="98">
        <f>SUM(I18:I19)</f>
        <v>138107.54999999999</v>
      </c>
      <c r="J17" s="66">
        <f>SUM(J18:J19)</f>
        <v>129833</v>
      </c>
      <c r="K17" s="33">
        <f>(G17-H17)/(D17+E17+F17)</f>
        <v>9.0479523536694615E-3</v>
      </c>
      <c r="L17" s="33">
        <f>1-((G17-H17)/(D17+E17+F17))</f>
        <v>0.99095204764633049</v>
      </c>
      <c r="M17" s="96">
        <f>SUM(M18:M19)</f>
        <v>139827</v>
      </c>
      <c r="N17" s="3">
        <v>848</v>
      </c>
      <c r="O17" s="4">
        <f t="shared" si="0"/>
        <v>1719.4500000000116</v>
      </c>
      <c r="P17" s="5">
        <f>M17+N17-I17</f>
        <v>2567.4500000000116</v>
      </c>
      <c r="Q17" s="909"/>
      <c r="R17" s="910">
        <v>9</v>
      </c>
      <c r="S17" s="1" t="s">
        <v>155</v>
      </c>
      <c r="T17" s="96">
        <f>SUM(T18:T19)</f>
        <v>139473.54999999999</v>
      </c>
      <c r="U17" s="96">
        <f>SUM(U18:U19)</f>
        <v>185.21666666666661</v>
      </c>
      <c r="V17" s="97">
        <f>SUM(V18:V19)</f>
        <v>540.9</v>
      </c>
      <c r="W17" s="96">
        <f>SUM(W18:W19)</f>
        <v>1466</v>
      </c>
      <c r="X17" s="3"/>
      <c r="Y17" s="98">
        <f>SUM(Y18:Y19)</f>
        <v>138733.66666666666</v>
      </c>
      <c r="Z17" s="66">
        <f>SUM(Z18:Z19)</f>
        <v>139874</v>
      </c>
      <c r="AA17" s="33">
        <f t="shared" si="1"/>
        <v>1.0456515588482141E-2</v>
      </c>
      <c r="AB17" s="33">
        <f>1-((W17-X17)/(T17+U17+V17))</f>
        <v>0.98954348441151785</v>
      </c>
      <c r="AC17" s="96">
        <f>SUM(AC18:AC19)</f>
        <v>140527</v>
      </c>
      <c r="AD17" s="3">
        <v>848</v>
      </c>
      <c r="AE17" s="4">
        <f t="shared" si="2"/>
        <v>1793.333333333343</v>
      </c>
      <c r="AF17" s="5">
        <f>AC17+AD17-Y17</f>
        <v>2641.333333333343</v>
      </c>
      <c r="AG17" s="911"/>
      <c r="AH17" s="912">
        <v>9</v>
      </c>
      <c r="AI17" s="1" t="s">
        <v>155</v>
      </c>
      <c r="AJ17" s="101">
        <f>SUM(AJ18:AJ19)</f>
        <v>131661.51666666666</v>
      </c>
      <c r="AK17" s="101">
        <f>SUM(AK18:AK19)</f>
        <v>27.35</v>
      </c>
      <c r="AL17" s="102">
        <f>SUM(AL18:AL19)</f>
        <v>251.95</v>
      </c>
      <c r="AM17" s="101">
        <f>SUM(AM18:AM19)</f>
        <v>1279</v>
      </c>
      <c r="AN17" s="1"/>
      <c r="AO17" s="98">
        <f>SUM(AO18:AO19)</f>
        <v>130661.81666666668</v>
      </c>
      <c r="AP17" s="103">
        <f>SUM(AP18:AP19)</f>
        <v>0</v>
      </c>
      <c r="AQ17" s="33">
        <f t="shared" si="3"/>
        <v>9.693740211046643E-3</v>
      </c>
      <c r="AR17" s="33">
        <f t="shared" si="4"/>
        <v>0.99030625978895337</v>
      </c>
      <c r="AS17" s="96">
        <f>SUM(AS18:AS19)</f>
        <v>132310</v>
      </c>
      <c r="AT17" s="1">
        <v>848</v>
      </c>
      <c r="AU17" s="4">
        <f t="shared" si="5"/>
        <v>1648.1833333333198</v>
      </c>
      <c r="AV17" s="5">
        <f>AS17+AT17-AO17</f>
        <v>2496.1833333333198</v>
      </c>
      <c r="AW17" s="913"/>
      <c r="AX17" s="910">
        <v>9</v>
      </c>
      <c r="AY17" s="1" t="s">
        <v>155</v>
      </c>
      <c r="AZ17" s="101">
        <f>SUM(AZ18:AZ19)</f>
        <v>141582.21666666665</v>
      </c>
      <c r="BA17" s="101">
        <f>SUM(BA18:BA19)</f>
        <v>46.166666666666671</v>
      </c>
      <c r="BB17" s="102">
        <f>SUM(BB18:BB19)</f>
        <v>13.2</v>
      </c>
      <c r="BC17" s="101">
        <f>SUM(BC18:BC19)</f>
        <v>1414</v>
      </c>
      <c r="BD17" s="3"/>
      <c r="BE17" s="98">
        <f>SUM(BE18:BE19)</f>
        <v>140227.58333333331</v>
      </c>
      <c r="BF17" s="33">
        <f t="shared" si="6"/>
        <v>9.9829440389151269E-3</v>
      </c>
      <c r="BG17" s="33">
        <f t="shared" si="7"/>
        <v>0.99001705596108491</v>
      </c>
      <c r="BH17" s="96">
        <f>SUM(BH18:BH19)</f>
        <v>141958</v>
      </c>
      <c r="BI17" s="1">
        <v>848</v>
      </c>
      <c r="BJ17" s="45">
        <f t="shared" si="8"/>
        <v>1730.4166666666861</v>
      </c>
      <c r="BK17" s="5">
        <f>BH17+BI17-BE17</f>
        <v>2578.4166666666861</v>
      </c>
      <c r="BL17" s="914"/>
      <c r="BM17" s="912">
        <v>10</v>
      </c>
      <c r="BN17" s="1" t="s">
        <v>155</v>
      </c>
      <c r="BO17" s="101">
        <f>SUM(BO18:BO19)</f>
        <v>132340.95000000001</v>
      </c>
      <c r="BP17" s="101">
        <f>SUM(BP18:BP19)</f>
        <v>0</v>
      </c>
      <c r="BQ17" s="102">
        <f>SUM(BQ18:BQ19)</f>
        <v>0</v>
      </c>
      <c r="BR17" s="101">
        <f>SUM(BR18:BR19)</f>
        <v>0</v>
      </c>
      <c r="BS17" s="2"/>
      <c r="BT17" s="98">
        <f>SUM(BT18:BT19)</f>
        <v>132340.95000000001</v>
      </c>
      <c r="BU17" s="33">
        <f t="shared" si="9"/>
        <v>0</v>
      </c>
      <c r="BV17" s="33">
        <f t="shared" si="10"/>
        <v>1</v>
      </c>
      <c r="BW17" s="101">
        <f>SUM(BW18:BW19)</f>
        <v>132734.33333333334</v>
      </c>
      <c r="BX17" s="1">
        <v>848</v>
      </c>
      <c r="BY17" s="46">
        <f t="shared" si="11"/>
        <v>393.38333333333139</v>
      </c>
      <c r="BZ17" s="5">
        <f>BW17+BX17-BT17</f>
        <v>1241.3833333333314</v>
      </c>
      <c r="CA17" s="915"/>
      <c r="CB17" s="912">
        <v>9</v>
      </c>
      <c r="CC17" s="1" t="s">
        <v>155</v>
      </c>
      <c r="CD17" s="47">
        <f>SUM(CD18:CD19)</f>
        <v>136681.96666666667</v>
      </c>
      <c r="CE17" s="101">
        <f>SUM(CE18:CE19)</f>
        <v>0</v>
      </c>
      <c r="CF17" s="102">
        <f>SUM(CF18:CF19)</f>
        <v>0</v>
      </c>
      <c r="CG17" s="101">
        <f>SUM(CG18:CG19)</f>
        <v>0</v>
      </c>
      <c r="CH17" s="2"/>
      <c r="CI17" s="91">
        <f>SUM(CI18:CI19)</f>
        <v>136681.96666666667</v>
      </c>
      <c r="CJ17" s="33">
        <f t="shared" si="12"/>
        <v>0</v>
      </c>
      <c r="CK17" s="33">
        <f t="shared" si="13"/>
        <v>1</v>
      </c>
      <c r="CL17" s="101">
        <f>SUM(CL18:CL19)</f>
        <v>137143.29999999999</v>
      </c>
      <c r="CM17" s="104">
        <v>848</v>
      </c>
      <c r="CN17" s="917">
        <f t="shared" si="14"/>
        <v>461.33333333331393</v>
      </c>
      <c r="CO17" s="918">
        <f>CL17+CM17-CI17</f>
        <v>1309.3333333333139</v>
      </c>
      <c r="CP17" s="919"/>
      <c r="CQ17" s="912">
        <v>9</v>
      </c>
      <c r="CR17" s="1" t="s">
        <v>155</v>
      </c>
      <c r="CS17" s="47">
        <f>SUM(CS18:CS19)</f>
        <v>139057.31666666668</v>
      </c>
      <c r="CT17" s="101">
        <f>SUM(CT18:CT19)</f>
        <v>0</v>
      </c>
      <c r="CU17" s="102">
        <f>SUM(CU18:CU19)</f>
        <v>0</v>
      </c>
      <c r="CV17" s="101">
        <f>SUM(CV18:CV19)</f>
        <v>0</v>
      </c>
      <c r="CW17" s="2"/>
      <c r="CX17" s="91">
        <f>SUM(CX18:CX19)</f>
        <v>139057.31666666668</v>
      </c>
      <c r="CY17" s="33">
        <f t="shared" si="15"/>
        <v>0</v>
      </c>
      <c r="CZ17" s="33">
        <f t="shared" si="16"/>
        <v>1</v>
      </c>
      <c r="DA17" s="101">
        <f>SUM(DA18:DA19)</f>
        <v>139550.26666666666</v>
      </c>
      <c r="DB17" s="1">
        <v>848</v>
      </c>
      <c r="DC17" s="48">
        <f t="shared" si="17"/>
        <v>492.94999999998254</v>
      </c>
      <c r="DD17" s="29">
        <f>DA17+DB17-CX17</f>
        <v>1340.9499999999825</v>
      </c>
      <c r="DE17" s="920"/>
      <c r="DF17" s="912">
        <v>9</v>
      </c>
      <c r="DG17" s="1" t="s">
        <v>155</v>
      </c>
      <c r="DH17" s="47">
        <f>SUM(DH18:DH19)</f>
        <v>126261.06666666668</v>
      </c>
      <c r="DI17" s="101">
        <f>SUM(DI18:DI19)</f>
        <v>0</v>
      </c>
      <c r="DJ17" s="102">
        <f>SUM(DJ18:DJ19)</f>
        <v>0</v>
      </c>
      <c r="DK17" s="101">
        <f>SUM(DK18:DK19)</f>
        <v>0</v>
      </c>
      <c r="DL17" s="3"/>
      <c r="DM17" s="91">
        <f>SUM(DM18:DM19)</f>
        <v>126261.06666666668</v>
      </c>
      <c r="DN17" s="33">
        <f t="shared" si="18"/>
        <v>0</v>
      </c>
      <c r="DO17" s="33">
        <f t="shared" si="19"/>
        <v>1</v>
      </c>
      <c r="DP17" s="101">
        <f>SUM(DP18:DP19)</f>
        <v>129330.33333333334</v>
      </c>
      <c r="DQ17" s="1">
        <v>848</v>
      </c>
      <c r="DR17" s="48">
        <f t="shared" si="20"/>
        <v>3069.2666666666628</v>
      </c>
      <c r="DS17" s="29">
        <f>DP17+DQ17-DM17</f>
        <v>3917.2666666666628</v>
      </c>
      <c r="DT17" s="921"/>
      <c r="DU17" s="912">
        <v>9</v>
      </c>
      <c r="DV17" s="1" t="s">
        <v>155</v>
      </c>
      <c r="DW17" s="47">
        <f>SUM(DW18:DW19)</f>
        <v>137397.58333333331</v>
      </c>
      <c r="DX17" s="101">
        <f>SUM(DX18:DX19)</f>
        <v>0</v>
      </c>
      <c r="DY17" s="102">
        <f>SUM(DY18:DY19)</f>
        <v>0</v>
      </c>
      <c r="DZ17" s="101">
        <f>SUM(DZ18:DZ19)</f>
        <v>0</v>
      </c>
      <c r="EA17" s="2"/>
      <c r="EB17" s="91">
        <f>SUM(EB18:EB19)</f>
        <v>137397.58333333331</v>
      </c>
      <c r="EC17" s="33">
        <f t="shared" si="21"/>
        <v>0</v>
      </c>
      <c r="ED17" s="33">
        <f t="shared" si="22"/>
        <v>1</v>
      </c>
      <c r="EE17" s="101">
        <f>SUM(EE18:EE19)</f>
        <v>135141.29999999999</v>
      </c>
      <c r="EF17" s="1">
        <v>848</v>
      </c>
      <c r="EG17" s="48">
        <f t="shared" si="23"/>
        <v>-2256.2833333333256</v>
      </c>
      <c r="EH17" s="29">
        <f>EE17+EF17-EB17</f>
        <v>-1408.2833333333256</v>
      </c>
      <c r="EI17" s="941"/>
      <c r="EJ17" s="912">
        <v>9</v>
      </c>
      <c r="EK17" s="1" t="s">
        <v>155</v>
      </c>
      <c r="EL17" s="47">
        <f>SUM(EL18:EL19)</f>
        <v>136392.85</v>
      </c>
      <c r="EM17" s="101">
        <f>SUM(EM18:EM19)</f>
        <v>0</v>
      </c>
      <c r="EN17" s="102">
        <f>SUM(EN18:EN19)</f>
        <v>0</v>
      </c>
      <c r="EO17" s="101">
        <f>SUM(EO18:EO19)</f>
        <v>0</v>
      </c>
      <c r="EP17" s="2"/>
      <c r="EQ17" s="91">
        <f>SUM(EQ18:EQ19)</f>
        <v>136392.85</v>
      </c>
      <c r="ER17" s="33">
        <f t="shared" si="24"/>
        <v>0</v>
      </c>
      <c r="ES17" s="33">
        <f t="shared" si="25"/>
        <v>1</v>
      </c>
      <c r="ET17" s="101">
        <f>SUM(ET18:ET19)</f>
        <v>136847.26666666666</v>
      </c>
      <c r="EU17" s="1">
        <v>848</v>
      </c>
      <c r="EV17" s="48">
        <f t="shared" si="26"/>
        <v>454.41666666665697</v>
      </c>
      <c r="EW17" s="29">
        <f>ET17+EU17-EQ17</f>
        <v>1302.416666666657</v>
      </c>
      <c r="EX17" s="925"/>
      <c r="EY17" s="912">
        <v>9</v>
      </c>
      <c r="EZ17" s="1" t="s">
        <v>155</v>
      </c>
      <c r="FA17" s="3">
        <f>SUM(FA18:FA19)</f>
        <v>137493.85000000003</v>
      </c>
      <c r="FB17" s="101">
        <f>SUM(FB18:FB19)</f>
        <v>0</v>
      </c>
      <c r="FC17" s="102">
        <f>SUM(FC18:FC19)</f>
        <v>0</v>
      </c>
      <c r="FD17" s="101">
        <f>SUM(FD18:FD19)</f>
        <v>0</v>
      </c>
      <c r="FE17" s="2"/>
      <c r="FF17" s="91">
        <f>SUM(FF18:FF19)</f>
        <v>137493.85000000003</v>
      </c>
      <c r="FG17" s="33">
        <f t="shared" si="27"/>
        <v>0</v>
      </c>
      <c r="FH17" s="33">
        <f t="shared" si="28"/>
        <v>1</v>
      </c>
      <c r="FI17" s="101">
        <f>SUM(FI18:FI19)</f>
        <v>140547.29999999999</v>
      </c>
      <c r="FJ17" s="1">
        <v>848</v>
      </c>
      <c r="FK17" s="48">
        <f t="shared" si="29"/>
        <v>3053.4499999999534</v>
      </c>
      <c r="FL17" s="29">
        <f>FI17+FJ17-FF17</f>
        <v>3901.4499999999534</v>
      </c>
      <c r="FM17" s="927"/>
      <c r="FN17" s="910">
        <v>9</v>
      </c>
      <c r="FO17" s="1" t="s">
        <v>155</v>
      </c>
      <c r="FP17" s="3">
        <f>SUM(FP18:FP19)</f>
        <v>133999.26666666666</v>
      </c>
      <c r="FQ17" s="101">
        <f>SUM(FQ18:FQ19)</f>
        <v>0</v>
      </c>
      <c r="FR17" s="102">
        <f>SUM(FR18:FR19)</f>
        <v>0</v>
      </c>
      <c r="FS17" s="101">
        <f>SUM(FS18:FS19)</f>
        <v>0</v>
      </c>
      <c r="FT17" s="3"/>
      <c r="FU17" s="91">
        <f>SUM(FU18:FU19)</f>
        <v>133999.26666666666</v>
      </c>
      <c r="FV17" s="33">
        <f t="shared" si="30"/>
        <v>0</v>
      </c>
      <c r="FW17" s="33">
        <f t="shared" si="31"/>
        <v>1</v>
      </c>
      <c r="FX17" s="101">
        <f>SUM(FX18:FX19)</f>
        <v>131737.29999999999</v>
      </c>
      <c r="FY17" s="1">
        <v>848</v>
      </c>
      <c r="FZ17" s="48">
        <f t="shared" si="32"/>
        <v>-2261.9666666666744</v>
      </c>
      <c r="GA17" s="29">
        <f>FX17+FY17-FU17</f>
        <v>-1413.9666666666744</v>
      </c>
    </row>
    <row r="18" spans="1:183">
      <c r="A18" s="906"/>
      <c r="B18" s="907">
        <v>10</v>
      </c>
      <c r="C18" s="876" t="s">
        <v>156</v>
      </c>
      <c r="D18" s="942">
        <v>61755.26666666667</v>
      </c>
      <c r="E18" s="928">
        <v>161.55000000000001</v>
      </c>
      <c r="F18" s="947"/>
      <c r="G18" s="106">
        <v>451</v>
      </c>
      <c r="H18" s="876"/>
      <c r="I18" s="93">
        <f>D18+E18+F18+H18-G18</f>
        <v>61465.816666666673</v>
      </c>
      <c r="J18" s="929">
        <v>56416</v>
      </c>
      <c r="K18" s="930">
        <f>(G18-H18)/(D18+E18+F18)</f>
        <v>7.2839662030428449E-3</v>
      </c>
      <c r="L18" s="930">
        <f>1-((G18-H18)/(D18+E18+F18))</f>
        <v>0.99271603379695716</v>
      </c>
      <c r="M18" s="912">
        <v>62257</v>
      </c>
      <c r="N18" s="876"/>
      <c r="O18" s="931">
        <f t="shared" si="0"/>
        <v>791.18333333332703</v>
      </c>
      <c r="P18" s="918"/>
      <c r="Q18" s="909"/>
      <c r="R18" s="910">
        <v>10</v>
      </c>
      <c r="S18" s="876" t="s">
        <v>156</v>
      </c>
      <c r="T18" s="876">
        <v>62098.2</v>
      </c>
      <c r="U18" s="876">
        <v>101.6</v>
      </c>
      <c r="V18" s="7">
        <v>224.2</v>
      </c>
      <c r="W18" s="106">
        <v>492</v>
      </c>
      <c r="X18" s="876"/>
      <c r="Y18" s="93">
        <f>T18+U18+V18+X18-W18</f>
        <v>61931.999999999993</v>
      </c>
      <c r="Z18" s="929">
        <v>62390</v>
      </c>
      <c r="AA18" s="930">
        <f t="shared" si="1"/>
        <v>7.8815840061514809E-3</v>
      </c>
      <c r="AB18" s="930">
        <f>1-((W18-X18)/(T18+U18+V18))</f>
        <v>0.99211841599384853</v>
      </c>
      <c r="AC18" s="876">
        <v>62599</v>
      </c>
      <c r="AD18" s="876"/>
      <c r="AE18" s="931">
        <f t="shared" si="2"/>
        <v>667.00000000000728</v>
      </c>
      <c r="AF18" s="918"/>
      <c r="AG18" s="911"/>
      <c r="AH18" s="912">
        <v>10</v>
      </c>
      <c r="AI18" s="876" t="s">
        <v>156</v>
      </c>
      <c r="AJ18" s="933">
        <v>58618.65</v>
      </c>
      <c r="AK18" s="933">
        <v>7.8</v>
      </c>
      <c r="AL18" s="7">
        <v>103.75</v>
      </c>
      <c r="AM18" s="106">
        <v>453</v>
      </c>
      <c r="AN18" s="876"/>
      <c r="AO18" s="93">
        <f>AJ18+AK18+AL18+AN18-AM18</f>
        <v>58277.200000000004</v>
      </c>
      <c r="AP18" s="934"/>
      <c r="AQ18" s="930">
        <f t="shared" si="3"/>
        <v>7.7132378231301781E-3</v>
      </c>
      <c r="AR18" s="930">
        <f t="shared" si="4"/>
        <v>0.99228676217686984</v>
      </c>
      <c r="AS18" s="876">
        <v>58833</v>
      </c>
      <c r="AT18" s="876"/>
      <c r="AU18" s="931">
        <f t="shared" si="5"/>
        <v>555.79999999999563</v>
      </c>
      <c r="AV18" s="918"/>
      <c r="AW18" s="913"/>
      <c r="AX18" s="910">
        <v>10</v>
      </c>
      <c r="AY18" s="876" t="s">
        <v>156</v>
      </c>
      <c r="AZ18" s="876">
        <v>63184.9</v>
      </c>
      <c r="BA18" s="933">
        <v>13</v>
      </c>
      <c r="BB18" s="7">
        <v>7.5</v>
      </c>
      <c r="BC18" s="106">
        <v>503</v>
      </c>
      <c r="BD18" s="876"/>
      <c r="BE18" s="93">
        <f>AZ18+BA18+BB18+BD18-BC18</f>
        <v>62702.400000000001</v>
      </c>
      <c r="BF18" s="930">
        <f t="shared" si="6"/>
        <v>7.9581807883503629E-3</v>
      </c>
      <c r="BG18" s="930">
        <f t="shared" si="7"/>
        <v>0.99204181921164969</v>
      </c>
      <c r="BH18" s="912">
        <v>63282</v>
      </c>
      <c r="BI18" s="876"/>
      <c r="BJ18" s="935">
        <f t="shared" si="8"/>
        <v>579.59999999999854</v>
      </c>
      <c r="BK18" s="918"/>
      <c r="BL18" s="914"/>
      <c r="BM18" s="912">
        <v>11</v>
      </c>
      <c r="BN18" s="876" t="s">
        <v>156</v>
      </c>
      <c r="BO18" s="876">
        <v>58948.6</v>
      </c>
      <c r="BP18" s="933"/>
      <c r="BQ18" s="7"/>
      <c r="BR18" s="106"/>
      <c r="BS18" s="430"/>
      <c r="BT18" s="93">
        <f>BO18+BP18+BQ18+BS18-BR18</f>
        <v>58948.6</v>
      </c>
      <c r="BU18" s="930">
        <f t="shared" si="9"/>
        <v>0</v>
      </c>
      <c r="BV18" s="930">
        <f t="shared" si="10"/>
        <v>1</v>
      </c>
      <c r="BW18" s="936">
        <v>59067.666666666664</v>
      </c>
      <c r="BX18" s="430"/>
      <c r="BY18" s="917">
        <f t="shared" si="11"/>
        <v>119.0666666666657</v>
      </c>
      <c r="BZ18" s="918"/>
      <c r="CA18" s="915"/>
      <c r="CB18" s="912">
        <v>10</v>
      </c>
      <c r="CC18" s="876" t="s">
        <v>156</v>
      </c>
      <c r="CD18" s="876">
        <v>60848.75</v>
      </c>
      <c r="CE18" s="933"/>
      <c r="CF18" s="7"/>
      <c r="CG18" s="106"/>
      <c r="CH18" s="430"/>
      <c r="CI18" s="93">
        <f>CD18+CE18+CF18+CH18-CG18</f>
        <v>60848.75</v>
      </c>
      <c r="CJ18" s="930">
        <f t="shared" si="12"/>
        <v>0</v>
      </c>
      <c r="CK18" s="930">
        <f t="shared" si="13"/>
        <v>1</v>
      </c>
      <c r="CL18" s="430">
        <v>61014.3</v>
      </c>
      <c r="CM18" s="937"/>
      <c r="CN18" s="917">
        <f t="shared" si="14"/>
        <v>165.55000000000291</v>
      </c>
      <c r="CO18" s="918"/>
      <c r="CP18" s="919"/>
      <c r="CQ18" s="912">
        <v>10</v>
      </c>
      <c r="CR18" s="876" t="s">
        <v>156</v>
      </c>
      <c r="CS18" s="876">
        <v>61961.916666666686</v>
      </c>
      <c r="CT18" s="933"/>
      <c r="CU18" s="7"/>
      <c r="CV18" s="106"/>
      <c r="CW18" s="430"/>
      <c r="CX18" s="93">
        <f>CS18+CT18+CU18+CW18-CV18</f>
        <v>61961.916666666686</v>
      </c>
      <c r="CY18" s="930">
        <f t="shared" si="15"/>
        <v>0</v>
      </c>
      <c r="CZ18" s="930">
        <f t="shared" si="16"/>
        <v>1</v>
      </c>
      <c r="DA18" s="936">
        <v>62147.933333333334</v>
      </c>
      <c r="DB18" s="430"/>
      <c r="DC18" s="938">
        <f t="shared" si="17"/>
        <v>186.01666666664823</v>
      </c>
      <c r="DD18" s="939"/>
      <c r="DE18" s="920"/>
      <c r="DF18" s="912">
        <v>10</v>
      </c>
      <c r="DG18" s="876" t="s">
        <v>156</v>
      </c>
      <c r="DH18" s="933">
        <v>56304.33333333335</v>
      </c>
      <c r="DI18" s="933"/>
      <c r="DJ18" s="7"/>
      <c r="DK18" s="106"/>
      <c r="DL18" s="876"/>
      <c r="DM18" s="93">
        <f>DH18+DI18+DJ18+DL18-DK18</f>
        <v>56304.33333333335</v>
      </c>
      <c r="DN18" s="930">
        <f t="shared" si="18"/>
        <v>0</v>
      </c>
      <c r="DO18" s="930">
        <f t="shared" si="19"/>
        <v>1</v>
      </c>
      <c r="DP18" s="940">
        <v>57568.666666666664</v>
      </c>
      <c r="DQ18" s="876"/>
      <c r="DR18" s="938">
        <f t="shared" si="20"/>
        <v>1264.3333333333139</v>
      </c>
      <c r="DS18" s="939"/>
      <c r="DT18" s="921"/>
      <c r="DU18" s="912">
        <v>10</v>
      </c>
      <c r="DV18" s="876" t="s">
        <v>156</v>
      </c>
      <c r="DW18" s="933">
        <v>61204.95</v>
      </c>
      <c r="DX18" s="933"/>
      <c r="DY18" s="7"/>
      <c r="DZ18" s="106"/>
      <c r="EA18" s="430"/>
      <c r="EB18" s="93">
        <f>DW18+DX18+DY18+EA18-DZ18</f>
        <v>61204.95</v>
      </c>
      <c r="EC18" s="930">
        <f t="shared" si="21"/>
        <v>0</v>
      </c>
      <c r="ED18" s="930">
        <f t="shared" si="22"/>
        <v>1</v>
      </c>
      <c r="EE18" s="936">
        <v>60201.3</v>
      </c>
      <c r="EF18" s="430"/>
      <c r="EG18" s="938">
        <f t="shared" si="23"/>
        <v>-1003.6499999999942</v>
      </c>
      <c r="EH18" s="939"/>
      <c r="EI18" s="941"/>
      <c r="EJ18" s="912">
        <v>10</v>
      </c>
      <c r="EK18" s="876" t="s">
        <v>156</v>
      </c>
      <c r="EL18" s="933">
        <v>60830.583333333358</v>
      </c>
      <c r="EM18" s="933"/>
      <c r="EN18" s="7"/>
      <c r="EO18" s="106"/>
      <c r="EP18" s="430"/>
      <c r="EQ18" s="93">
        <f>EL18+EM18+EN18+EP18-EO18</f>
        <v>60830.583333333358</v>
      </c>
      <c r="ER18" s="930">
        <f t="shared" si="24"/>
        <v>0</v>
      </c>
      <c r="ES18" s="930">
        <f t="shared" si="25"/>
        <v>1</v>
      </c>
      <c r="ET18" s="430">
        <v>60991.933333333334</v>
      </c>
      <c r="EU18" s="430"/>
      <c r="EV18" s="938">
        <f t="shared" si="26"/>
        <v>161.34999999997672</v>
      </c>
      <c r="EW18" s="939"/>
      <c r="EX18" s="925"/>
      <c r="EY18" s="912">
        <v>10</v>
      </c>
      <c r="EZ18" s="876" t="s">
        <v>156</v>
      </c>
      <c r="FA18" s="876">
        <v>61276.38333333336</v>
      </c>
      <c r="FB18" s="933"/>
      <c r="FC18" s="7"/>
      <c r="FD18" s="106"/>
      <c r="FE18" s="430"/>
      <c r="FF18" s="93">
        <f>FA18+FB18+FC18+FE18-FD18</f>
        <v>61276.38333333336</v>
      </c>
      <c r="FG18" s="930">
        <f t="shared" si="27"/>
        <v>0</v>
      </c>
      <c r="FH18" s="930">
        <f t="shared" si="28"/>
        <v>1</v>
      </c>
      <c r="FI18" s="936">
        <v>62513.3</v>
      </c>
      <c r="FJ18" s="430"/>
      <c r="FK18" s="938">
        <f t="shared" si="29"/>
        <v>1236.9166666666424</v>
      </c>
      <c r="FL18" s="939"/>
      <c r="FM18" s="927"/>
      <c r="FN18" s="910">
        <v>10</v>
      </c>
      <c r="FO18" s="876" t="s">
        <v>156</v>
      </c>
      <c r="FP18" s="876">
        <v>59704.15</v>
      </c>
      <c r="FQ18" s="933"/>
      <c r="FR18" s="7"/>
      <c r="FS18" s="106"/>
      <c r="FT18" s="876"/>
      <c r="FU18" s="93">
        <f>FP18+FQ18+FR18+FT18-FS18</f>
        <v>59704.15</v>
      </c>
      <c r="FV18" s="930">
        <f t="shared" si="30"/>
        <v>0</v>
      </c>
      <c r="FW18" s="930">
        <f t="shared" si="31"/>
        <v>1</v>
      </c>
      <c r="FX18" s="940">
        <v>58702.3</v>
      </c>
      <c r="FY18" s="876"/>
      <c r="FZ18" s="938">
        <f t="shared" si="32"/>
        <v>-1001.8499999999985</v>
      </c>
      <c r="GA18" s="939"/>
    </row>
    <row r="19" spans="1:183">
      <c r="A19" s="906"/>
      <c r="B19" s="907">
        <v>11</v>
      </c>
      <c r="C19" s="876" t="s">
        <v>157</v>
      </c>
      <c r="D19" s="928">
        <v>77020.899999999994</v>
      </c>
      <c r="E19" s="928">
        <v>134.93333333333328</v>
      </c>
      <c r="F19" s="72">
        <v>295.89999999999998</v>
      </c>
      <c r="G19" s="106">
        <v>810</v>
      </c>
      <c r="H19" s="876"/>
      <c r="I19" s="93">
        <f>D19+E19+F19+H19-G19</f>
        <v>76641.733333333323</v>
      </c>
      <c r="J19" s="929">
        <v>73417</v>
      </c>
      <c r="K19" s="930">
        <f>(G19-H19)/(D19+E19+F19)</f>
        <v>1.0458126179229045E-2</v>
      </c>
      <c r="L19" s="930">
        <f>1-((G19-H19)/(D19+E19+F19))</f>
        <v>0.98954187382077097</v>
      </c>
      <c r="M19" s="876">
        <v>77570</v>
      </c>
      <c r="N19" s="876"/>
      <c r="O19" s="931">
        <f t="shared" si="0"/>
        <v>928.26666666667734</v>
      </c>
      <c r="P19" s="918"/>
      <c r="Q19" s="909"/>
      <c r="R19" s="910">
        <v>11</v>
      </c>
      <c r="S19" s="876" t="s">
        <v>157</v>
      </c>
      <c r="T19" s="933">
        <v>77375.350000000006</v>
      </c>
      <c r="U19" s="933">
        <v>83.616666666666617</v>
      </c>
      <c r="V19" s="7">
        <v>316.7</v>
      </c>
      <c r="W19" s="106">
        <v>974</v>
      </c>
      <c r="X19" s="876"/>
      <c r="Y19" s="93">
        <f>T19+U19+V19+X19-W19</f>
        <v>76801.666666666672</v>
      </c>
      <c r="Z19" s="929">
        <v>77484</v>
      </c>
      <c r="AA19" s="930">
        <f t="shared" si="1"/>
        <v>1.2523197058205865E-2</v>
      </c>
      <c r="AB19" s="930">
        <f>1-((W19-X19)/(T19+U19+V19))</f>
        <v>0.98747680294179419</v>
      </c>
      <c r="AC19" s="876">
        <v>77928</v>
      </c>
      <c r="AD19" s="876"/>
      <c r="AE19" s="931">
        <f t="shared" si="2"/>
        <v>1126.3333333333285</v>
      </c>
      <c r="AF19" s="918"/>
      <c r="AG19" s="911"/>
      <c r="AH19" s="912">
        <v>11</v>
      </c>
      <c r="AI19" s="876" t="s">
        <v>157</v>
      </c>
      <c r="AJ19" s="933">
        <v>73042.866666666669</v>
      </c>
      <c r="AK19" s="933">
        <v>19.55</v>
      </c>
      <c r="AL19" s="7">
        <v>148.19999999999999</v>
      </c>
      <c r="AM19" s="106">
        <v>826</v>
      </c>
      <c r="AN19" s="876"/>
      <c r="AO19" s="93">
        <f>AJ19+AK19+AL19+AN19-AM19</f>
        <v>72384.616666666669</v>
      </c>
      <c r="AP19" s="934"/>
      <c r="AQ19" s="930">
        <f t="shared" si="3"/>
        <v>1.1282516629532556E-2</v>
      </c>
      <c r="AR19" s="930">
        <f t="shared" si="4"/>
        <v>0.9887174833704675</v>
      </c>
      <c r="AS19" s="876">
        <v>73477</v>
      </c>
      <c r="AT19" s="876"/>
      <c r="AU19" s="931">
        <f t="shared" si="5"/>
        <v>1092.3833333333314</v>
      </c>
      <c r="AV19" s="918"/>
      <c r="AW19" s="913"/>
      <c r="AX19" s="910">
        <v>11</v>
      </c>
      <c r="AY19" s="876" t="s">
        <v>157</v>
      </c>
      <c r="AZ19" s="933">
        <v>78397.316666666651</v>
      </c>
      <c r="BA19" s="933">
        <v>33.166666666666671</v>
      </c>
      <c r="BB19" s="7">
        <v>5.7</v>
      </c>
      <c r="BC19" s="106">
        <v>911</v>
      </c>
      <c r="BD19" s="876"/>
      <c r="BE19" s="93">
        <f>AZ19+BA19+BB19+BD19-BC19</f>
        <v>77525.18333333332</v>
      </c>
      <c r="BF19" s="930">
        <f t="shared" si="6"/>
        <v>1.1614537593300374E-2</v>
      </c>
      <c r="BG19" s="930">
        <f t="shared" si="7"/>
        <v>0.98838546240669967</v>
      </c>
      <c r="BH19" s="912">
        <v>78676</v>
      </c>
      <c r="BI19" s="876"/>
      <c r="BJ19" s="935">
        <f t="shared" si="8"/>
        <v>1150.8166666666802</v>
      </c>
      <c r="BK19" s="918"/>
      <c r="BL19" s="914"/>
      <c r="BM19" s="912"/>
      <c r="BN19" s="876" t="s">
        <v>157</v>
      </c>
      <c r="BO19" s="876">
        <v>73392.350000000006</v>
      </c>
      <c r="BP19" s="933"/>
      <c r="BQ19" s="7"/>
      <c r="BR19" s="106"/>
      <c r="BS19" s="430"/>
      <c r="BT19" s="93">
        <f>BO19+BP19+BQ19+BS19-BR19</f>
        <v>73392.350000000006</v>
      </c>
      <c r="BU19" s="930">
        <f t="shared" si="9"/>
        <v>0</v>
      </c>
      <c r="BV19" s="930">
        <f t="shared" si="10"/>
        <v>1</v>
      </c>
      <c r="BW19" s="936">
        <v>73666.666666666672</v>
      </c>
      <c r="BX19" s="430"/>
      <c r="BY19" s="917">
        <f t="shared" si="11"/>
        <v>274.3166666666657</v>
      </c>
      <c r="BZ19" s="918"/>
      <c r="CA19" s="915"/>
      <c r="CB19" s="912">
        <v>11</v>
      </c>
      <c r="CC19" s="876" t="s">
        <v>157</v>
      </c>
      <c r="CD19" s="876">
        <v>75833.21666666666</v>
      </c>
      <c r="CE19" s="933"/>
      <c r="CF19" s="7"/>
      <c r="CG19" s="106"/>
      <c r="CH19" s="430"/>
      <c r="CI19" s="93">
        <f>CD19+CE19+CF19+CH19-CG19</f>
        <v>75833.21666666666</v>
      </c>
      <c r="CJ19" s="930">
        <f t="shared" si="12"/>
        <v>0</v>
      </c>
      <c r="CK19" s="930">
        <f t="shared" si="13"/>
        <v>1</v>
      </c>
      <c r="CL19" s="430">
        <v>76129</v>
      </c>
      <c r="CM19" s="937"/>
      <c r="CN19" s="917">
        <f t="shared" si="14"/>
        <v>295.78333333334012</v>
      </c>
      <c r="CO19" s="918"/>
      <c r="CP19" s="919"/>
      <c r="CQ19" s="912">
        <v>11</v>
      </c>
      <c r="CR19" s="876" t="s">
        <v>157</v>
      </c>
      <c r="CS19" s="876">
        <v>77095.399999999994</v>
      </c>
      <c r="CT19" s="933"/>
      <c r="CU19" s="7"/>
      <c r="CV19" s="106"/>
      <c r="CW19" s="430"/>
      <c r="CX19" s="93">
        <f>CS19+CT19+CU19+CW19-CV19</f>
        <v>77095.399999999994</v>
      </c>
      <c r="CY19" s="930">
        <f t="shared" si="15"/>
        <v>0</v>
      </c>
      <c r="CZ19" s="930">
        <f t="shared" si="16"/>
        <v>1</v>
      </c>
      <c r="DA19" s="936">
        <v>77402.333333333343</v>
      </c>
      <c r="DB19" s="430"/>
      <c r="DC19" s="938">
        <f t="shared" si="17"/>
        <v>306.93333333334886</v>
      </c>
      <c r="DD19" s="939"/>
      <c r="DE19" s="920"/>
      <c r="DF19" s="912">
        <v>11</v>
      </c>
      <c r="DG19" s="876" t="s">
        <v>157</v>
      </c>
      <c r="DH19" s="933">
        <v>69956.733333333337</v>
      </c>
      <c r="DI19" s="933"/>
      <c r="DJ19" s="7"/>
      <c r="DK19" s="106"/>
      <c r="DL19" s="876"/>
      <c r="DM19" s="93">
        <f>DH19+DI19+DJ19+DL19-DK19</f>
        <v>69956.733333333337</v>
      </c>
      <c r="DN19" s="930">
        <f t="shared" si="18"/>
        <v>0</v>
      </c>
      <c r="DO19" s="930">
        <f t="shared" si="19"/>
        <v>1</v>
      </c>
      <c r="DP19" s="940">
        <v>71761.666666666672</v>
      </c>
      <c r="DQ19" s="876"/>
      <c r="DR19" s="938">
        <f t="shared" si="20"/>
        <v>1804.9333333333343</v>
      </c>
      <c r="DS19" s="939"/>
      <c r="DT19" s="921"/>
      <c r="DU19" s="912">
        <v>11</v>
      </c>
      <c r="DV19" s="876" t="s">
        <v>157</v>
      </c>
      <c r="DW19" s="933">
        <v>76192.633333333331</v>
      </c>
      <c r="DX19" s="933"/>
      <c r="DY19" s="7"/>
      <c r="DZ19" s="106"/>
      <c r="EA19" s="430"/>
      <c r="EB19" s="93">
        <f>DW19+DX19+DY19+EA19-DZ19</f>
        <v>76192.633333333331</v>
      </c>
      <c r="EC19" s="930">
        <f t="shared" si="21"/>
        <v>0</v>
      </c>
      <c r="ED19" s="930">
        <f t="shared" si="22"/>
        <v>1</v>
      </c>
      <c r="EE19" s="936">
        <v>74940</v>
      </c>
      <c r="EF19" s="430"/>
      <c r="EG19" s="938">
        <f t="shared" si="23"/>
        <v>-1252.6333333333314</v>
      </c>
      <c r="EH19" s="939"/>
      <c r="EI19" s="941"/>
      <c r="EJ19" s="912">
        <v>11</v>
      </c>
      <c r="EK19" s="876" t="s">
        <v>157</v>
      </c>
      <c r="EL19" s="933">
        <v>75562.266666666648</v>
      </c>
      <c r="EM19" s="933"/>
      <c r="EN19" s="7"/>
      <c r="EO19" s="106"/>
      <c r="EP19" s="430"/>
      <c r="EQ19" s="93">
        <f>EL19+EM19+EN19+EP19-EO19</f>
        <v>75562.266666666648</v>
      </c>
      <c r="ER19" s="930">
        <f t="shared" si="24"/>
        <v>0</v>
      </c>
      <c r="ES19" s="930">
        <f t="shared" si="25"/>
        <v>1</v>
      </c>
      <c r="ET19" s="430">
        <v>75855.333333333343</v>
      </c>
      <c r="EU19" s="430"/>
      <c r="EV19" s="938">
        <f t="shared" si="26"/>
        <v>293.0666666666948</v>
      </c>
      <c r="EW19" s="939"/>
      <c r="EX19" s="925"/>
      <c r="EY19" s="912">
        <v>11</v>
      </c>
      <c r="EZ19" s="876" t="s">
        <v>157</v>
      </c>
      <c r="FA19" s="876">
        <v>76217.46666666666</v>
      </c>
      <c r="FB19" s="933"/>
      <c r="FC19" s="7"/>
      <c r="FD19" s="106"/>
      <c r="FE19" s="430"/>
      <c r="FF19" s="93">
        <f>FA19+FB19+FC19+FE19-FD19</f>
        <v>76217.46666666666</v>
      </c>
      <c r="FG19" s="930">
        <f t="shared" si="27"/>
        <v>0</v>
      </c>
      <c r="FH19" s="930">
        <f t="shared" si="28"/>
        <v>1</v>
      </c>
      <c r="FI19" s="936">
        <v>78034</v>
      </c>
      <c r="FJ19" s="430"/>
      <c r="FK19" s="938">
        <f t="shared" si="29"/>
        <v>1816.5333333333401</v>
      </c>
      <c r="FL19" s="939"/>
      <c r="FM19" s="927"/>
      <c r="FN19" s="910">
        <v>11</v>
      </c>
      <c r="FO19" s="876" t="s">
        <v>157</v>
      </c>
      <c r="FP19" s="876">
        <v>74295.116666666669</v>
      </c>
      <c r="FQ19" s="933"/>
      <c r="FR19" s="7"/>
      <c r="FS19" s="106"/>
      <c r="FT19" s="876"/>
      <c r="FU19" s="93">
        <f>FP19+FQ19+FR19+FT19-FS19</f>
        <v>74295.116666666669</v>
      </c>
      <c r="FV19" s="930">
        <f t="shared" si="30"/>
        <v>0</v>
      </c>
      <c r="FW19" s="930">
        <f t="shared" si="31"/>
        <v>1</v>
      </c>
      <c r="FX19" s="940">
        <v>73035</v>
      </c>
      <c r="FY19" s="876"/>
      <c r="FZ19" s="938">
        <f t="shared" si="32"/>
        <v>-1260.1166666666686</v>
      </c>
      <c r="GA19" s="939"/>
    </row>
    <row r="20" spans="1:183">
      <c r="A20" s="906"/>
      <c r="B20" s="907"/>
      <c r="C20" s="876"/>
      <c r="D20" s="928"/>
      <c r="E20" s="928"/>
      <c r="F20" s="72"/>
      <c r="G20" s="106"/>
      <c r="H20" s="876"/>
      <c r="I20" s="93"/>
      <c r="J20" s="929"/>
      <c r="K20" s="930"/>
      <c r="L20" s="930"/>
      <c r="M20" s="876"/>
      <c r="N20" s="876"/>
      <c r="O20" s="931"/>
      <c r="P20" s="918"/>
      <c r="Q20" s="909"/>
      <c r="R20" s="910"/>
      <c r="S20" s="876"/>
      <c r="T20" s="933"/>
      <c r="U20" s="933"/>
      <c r="V20" s="7"/>
      <c r="W20" s="106"/>
      <c r="X20" s="876"/>
      <c r="Y20" s="93"/>
      <c r="Z20" s="929"/>
      <c r="AA20" s="930"/>
      <c r="AB20" s="930"/>
      <c r="AC20" s="876"/>
      <c r="AD20" s="876"/>
      <c r="AE20" s="931"/>
      <c r="AF20" s="918"/>
      <c r="AG20" s="911"/>
      <c r="AH20" s="912"/>
      <c r="AI20" s="876"/>
      <c r="AJ20" s="933"/>
      <c r="AK20" s="933"/>
      <c r="AL20" s="7"/>
      <c r="AM20" s="106"/>
      <c r="AN20" s="876"/>
      <c r="AO20" s="93"/>
      <c r="AP20" s="934"/>
      <c r="AQ20" s="930"/>
      <c r="AR20" s="930"/>
      <c r="AS20" s="876"/>
      <c r="AT20" s="876"/>
      <c r="AU20" s="931"/>
      <c r="AV20" s="918"/>
      <c r="AW20" s="913"/>
      <c r="AX20" s="910"/>
      <c r="AY20" s="876"/>
      <c r="AZ20" s="933"/>
      <c r="BA20" s="933"/>
      <c r="BB20" s="7"/>
      <c r="BC20" s="106"/>
      <c r="BD20" s="876"/>
      <c r="BE20" s="93"/>
      <c r="BF20" s="930"/>
      <c r="BG20" s="930"/>
      <c r="BH20" s="912"/>
      <c r="BI20" s="876"/>
      <c r="BJ20" s="935"/>
      <c r="BK20" s="918"/>
      <c r="BL20" s="914"/>
      <c r="BM20" s="912">
        <v>12</v>
      </c>
      <c r="BN20" s="876"/>
      <c r="BO20" s="876"/>
      <c r="BP20" s="933"/>
      <c r="BQ20" s="7"/>
      <c r="BR20" s="106"/>
      <c r="BS20" s="430"/>
      <c r="BT20" s="93"/>
      <c r="BU20" s="930"/>
      <c r="BV20" s="930"/>
      <c r="BW20" s="936"/>
      <c r="BX20" s="430"/>
      <c r="BY20" s="917"/>
      <c r="BZ20" s="918"/>
      <c r="CA20" s="915"/>
      <c r="CB20" s="912"/>
      <c r="CC20" s="876"/>
      <c r="CD20" s="876"/>
      <c r="CE20" s="933"/>
      <c r="CF20" s="7"/>
      <c r="CG20" s="106"/>
      <c r="CH20" s="430"/>
      <c r="CI20" s="93"/>
      <c r="CJ20" s="930"/>
      <c r="CK20" s="930"/>
      <c r="CL20" s="430"/>
      <c r="CM20" s="937"/>
      <c r="CN20" s="917"/>
      <c r="CO20" s="918"/>
      <c r="CP20" s="919"/>
      <c r="CQ20" s="912"/>
      <c r="CR20" s="876"/>
      <c r="CS20" s="876"/>
      <c r="CT20" s="933"/>
      <c r="CU20" s="7"/>
      <c r="CV20" s="106"/>
      <c r="CW20" s="430"/>
      <c r="CX20" s="93"/>
      <c r="CY20" s="930"/>
      <c r="CZ20" s="930"/>
      <c r="DA20" s="936"/>
      <c r="DB20" s="430"/>
      <c r="DC20" s="938"/>
      <c r="DD20" s="939"/>
      <c r="DE20" s="920"/>
      <c r="DF20" s="912"/>
      <c r="DG20" s="876"/>
      <c r="DH20" s="933"/>
      <c r="DI20" s="933"/>
      <c r="DJ20" s="7"/>
      <c r="DK20" s="106"/>
      <c r="DL20" s="876"/>
      <c r="DM20" s="93"/>
      <c r="DN20" s="930"/>
      <c r="DO20" s="930"/>
      <c r="DP20" s="940"/>
      <c r="DQ20" s="876"/>
      <c r="DR20" s="938"/>
      <c r="DS20" s="939"/>
      <c r="DT20" s="921"/>
      <c r="DU20" s="912"/>
      <c r="DV20" s="876"/>
      <c r="DW20" s="933"/>
      <c r="DX20" s="933"/>
      <c r="DY20" s="7"/>
      <c r="DZ20" s="106"/>
      <c r="EA20" s="430"/>
      <c r="EB20" s="93"/>
      <c r="EC20" s="930"/>
      <c r="ED20" s="930"/>
      <c r="EE20" s="936"/>
      <c r="EF20" s="430"/>
      <c r="EG20" s="938"/>
      <c r="EH20" s="939"/>
      <c r="EI20" s="941"/>
      <c r="EJ20" s="912"/>
      <c r="EK20" s="876"/>
      <c r="EL20" s="933"/>
      <c r="EM20" s="933"/>
      <c r="EN20" s="7"/>
      <c r="EO20" s="106"/>
      <c r="EP20" s="430"/>
      <c r="EQ20" s="93"/>
      <c r="ER20" s="930"/>
      <c r="ES20" s="930"/>
      <c r="ET20" s="430"/>
      <c r="EU20" s="430"/>
      <c r="EV20" s="938"/>
      <c r="EW20" s="939"/>
      <c r="EX20" s="925"/>
      <c r="EY20" s="912"/>
      <c r="EZ20" s="876"/>
      <c r="FA20" s="876"/>
      <c r="FB20" s="933"/>
      <c r="FC20" s="7"/>
      <c r="FD20" s="106"/>
      <c r="FE20" s="430"/>
      <c r="FF20" s="93"/>
      <c r="FG20" s="930"/>
      <c r="FH20" s="930"/>
      <c r="FI20" s="936"/>
      <c r="FJ20" s="430"/>
      <c r="FK20" s="938"/>
      <c r="FL20" s="939"/>
      <c r="FM20" s="927"/>
      <c r="FN20" s="910"/>
      <c r="FO20" s="876"/>
      <c r="FP20" s="876"/>
      <c r="FQ20" s="933"/>
      <c r="FR20" s="7"/>
      <c r="FS20" s="106"/>
      <c r="FT20" s="876"/>
      <c r="FU20" s="93"/>
      <c r="FV20" s="930"/>
      <c r="FW20" s="930"/>
      <c r="FX20" s="940"/>
      <c r="FY20" s="876"/>
      <c r="FZ20" s="938"/>
      <c r="GA20" s="939"/>
    </row>
    <row r="21" spans="1:183">
      <c r="A21" s="906"/>
      <c r="B21" s="907">
        <v>12</v>
      </c>
      <c r="C21" s="1" t="s">
        <v>158</v>
      </c>
      <c r="D21" s="96">
        <f>SUM(D22:D24)</f>
        <v>143091.38333333333</v>
      </c>
      <c r="E21" s="96">
        <f>SUM(E22:E24)</f>
        <v>1828.0666666666666</v>
      </c>
      <c r="F21" s="101">
        <f>SUM(F22:F24)</f>
        <v>347.01666666666665</v>
      </c>
      <c r="G21" s="96">
        <f>SUM(G22:G24)</f>
        <v>1228</v>
      </c>
      <c r="H21" s="3"/>
      <c r="I21" s="98">
        <f>SUM(I22:I24)</f>
        <v>144038.46666666667</v>
      </c>
      <c r="J21" s="66">
        <f>SUM(J22:J24)</f>
        <v>135276</v>
      </c>
      <c r="K21" s="33">
        <f>(G21-H21)/(D21+E21+F21)</f>
        <v>8.4534306380412635E-3</v>
      </c>
      <c r="L21" s="33">
        <f>1-((G21-H21)/(D21+E21+F21))</f>
        <v>0.99154656936195873</v>
      </c>
      <c r="M21" s="96">
        <f>SUM(M22:M24)</f>
        <v>144116</v>
      </c>
      <c r="N21" s="3">
        <v>1272</v>
      </c>
      <c r="O21" s="4">
        <f t="shared" si="0"/>
        <v>77.533333333325572</v>
      </c>
      <c r="P21" s="5">
        <f>M21+N21-I21</f>
        <v>1349.5333333333256</v>
      </c>
      <c r="Q21" s="909"/>
      <c r="R21" s="910">
        <v>12</v>
      </c>
      <c r="S21" s="1" t="s">
        <v>158</v>
      </c>
      <c r="T21" s="96">
        <f>SUM(T22:T24)</f>
        <v>143879.43333333335</v>
      </c>
      <c r="U21" s="96">
        <f>SUM(U22:U24)</f>
        <v>1793.5166666666664</v>
      </c>
      <c r="V21" s="110">
        <f>SUM(V22:V24)</f>
        <v>0</v>
      </c>
      <c r="W21" s="96">
        <f>SUM(W22:W24)</f>
        <v>1364</v>
      </c>
      <c r="X21" s="3"/>
      <c r="Y21" s="98">
        <f>SUM(Y22:Y24)</f>
        <v>144308.95000000001</v>
      </c>
      <c r="Z21" s="66">
        <f>SUM(Z22:Z24)</f>
        <v>144224</v>
      </c>
      <c r="AA21" s="33">
        <f t="shared" si="1"/>
        <v>9.3634405014795113E-3</v>
      </c>
      <c r="AB21" s="33">
        <f>1-((W21-X21)/(T21+U21+V21))</f>
        <v>0.99063655949852047</v>
      </c>
      <c r="AC21" s="96">
        <f>SUM(AC22:AC24)</f>
        <v>144853</v>
      </c>
      <c r="AD21" s="3">
        <v>1272</v>
      </c>
      <c r="AE21" s="4">
        <f t="shared" si="2"/>
        <v>544.04999999998836</v>
      </c>
      <c r="AF21" s="5">
        <f>AC21+AD21-Y21</f>
        <v>1816.0499999999884</v>
      </c>
      <c r="AG21" s="911"/>
      <c r="AH21" s="912">
        <v>12</v>
      </c>
      <c r="AI21" s="1" t="s">
        <v>158</v>
      </c>
      <c r="AJ21" s="101">
        <f>SUM(AJ22:AJ24)</f>
        <v>135946.91666666669</v>
      </c>
      <c r="AK21" s="101">
        <f>SUM(AK22:AK24)</f>
        <v>1513.4166666666663</v>
      </c>
      <c r="AL21" s="111">
        <f>SUM(AL22:AL24)</f>
        <v>0</v>
      </c>
      <c r="AM21" s="101">
        <f>SUM(AM22:AM24)</f>
        <v>1406</v>
      </c>
      <c r="AN21" s="1"/>
      <c r="AO21" s="98">
        <f>SUM(AO22:AO24)</f>
        <v>136054.33333333334</v>
      </c>
      <c r="AP21" s="103">
        <f>SUM(AP22:AP23)</f>
        <v>0</v>
      </c>
      <c r="AQ21" s="33">
        <f t="shared" si="3"/>
        <v>1.0228405285403546E-2</v>
      </c>
      <c r="AR21" s="33">
        <f t="shared" si="4"/>
        <v>0.98977159471459641</v>
      </c>
      <c r="AS21" s="96">
        <f>SUM(AS22:AS24)</f>
        <v>136555</v>
      </c>
      <c r="AT21" s="1">
        <v>1272</v>
      </c>
      <c r="AU21" s="4">
        <f t="shared" si="5"/>
        <v>500.66666666665697</v>
      </c>
      <c r="AV21" s="5">
        <f>AS21+AT21-AO21</f>
        <v>1772.666666666657</v>
      </c>
      <c r="AW21" s="913"/>
      <c r="AX21" s="910">
        <v>12</v>
      </c>
      <c r="AY21" s="1" t="s">
        <v>158</v>
      </c>
      <c r="AZ21" s="101">
        <f>SUM(AZ22:AZ24)</f>
        <v>145707.56666666668</v>
      </c>
      <c r="BA21" s="101">
        <f>SUM(BA22:BA24)</f>
        <v>403.21666666666687</v>
      </c>
      <c r="BB21" s="111">
        <f>SUM(BB22:BB24)</f>
        <v>261.21666666666664</v>
      </c>
      <c r="BC21" s="101">
        <f>SUM(BC22:BC24)</f>
        <v>1266</v>
      </c>
      <c r="BD21" s="3"/>
      <c r="BE21" s="98">
        <f>SUM(BE22:BE24)</f>
        <v>145106</v>
      </c>
      <c r="BF21" s="33">
        <f t="shared" si="6"/>
        <v>8.6491952012680007E-3</v>
      </c>
      <c r="BG21" s="33">
        <f t="shared" si="7"/>
        <v>0.99135080479873205</v>
      </c>
      <c r="BH21" s="96">
        <f>SUM(BH22:BH24)</f>
        <v>146356</v>
      </c>
      <c r="BI21" s="1">
        <v>1272</v>
      </c>
      <c r="BJ21" s="45">
        <f t="shared" si="8"/>
        <v>1250</v>
      </c>
      <c r="BK21" s="5">
        <f>BH21+BI21-BE21</f>
        <v>2522</v>
      </c>
      <c r="BL21" s="914"/>
      <c r="BM21" s="912">
        <v>13</v>
      </c>
      <c r="BN21" s="1" t="s">
        <v>158</v>
      </c>
      <c r="BO21" s="101">
        <f>SUM(BO22:BO24)</f>
        <v>136717.51666666669</v>
      </c>
      <c r="BP21" s="101">
        <f>SUM(BP22:BP24)</f>
        <v>0</v>
      </c>
      <c r="BQ21" s="111">
        <f>SUM(BQ22:BQ24)</f>
        <v>0</v>
      </c>
      <c r="BR21" s="101">
        <f>SUM(BR22:BR24)</f>
        <v>0</v>
      </c>
      <c r="BS21" s="2"/>
      <c r="BT21" s="98">
        <f>SUM(BT22:BT24)</f>
        <v>136717.51666666669</v>
      </c>
      <c r="BU21" s="33">
        <f t="shared" si="9"/>
        <v>0</v>
      </c>
      <c r="BV21" s="33">
        <f t="shared" si="10"/>
        <v>1</v>
      </c>
      <c r="BW21" s="101">
        <f>SUM(BW22:BW24)</f>
        <v>137401</v>
      </c>
      <c r="BX21" s="1">
        <v>1272</v>
      </c>
      <c r="BY21" s="46">
        <f t="shared" si="11"/>
        <v>683.48333333330811</v>
      </c>
      <c r="BZ21" s="5">
        <f>BW21+BX21-BT21</f>
        <v>1955.4833333333081</v>
      </c>
      <c r="CA21" s="915"/>
      <c r="CB21" s="912">
        <v>12</v>
      </c>
      <c r="CC21" s="1" t="s">
        <v>158</v>
      </c>
      <c r="CD21" s="101">
        <f>SUM(CD22:CD24)</f>
        <v>141068.54999999999</v>
      </c>
      <c r="CE21" s="101">
        <f>SUM(CE22:CE24)</f>
        <v>0</v>
      </c>
      <c r="CF21" s="111">
        <f>SUM(CF22:CF24)</f>
        <v>0</v>
      </c>
      <c r="CG21" s="101">
        <f>SUM(CG22:CG24)</f>
        <v>0</v>
      </c>
      <c r="CH21" s="2"/>
      <c r="CI21" s="91">
        <f>SUM(CI22:CI24)</f>
        <v>141068.54999999999</v>
      </c>
      <c r="CJ21" s="33">
        <f t="shared" si="12"/>
        <v>0</v>
      </c>
      <c r="CK21" s="33">
        <f t="shared" si="13"/>
        <v>1</v>
      </c>
      <c r="CL21" s="101">
        <f>SUM(CL22:CL24)</f>
        <v>141820.29999999999</v>
      </c>
      <c r="CM21" s="104">
        <v>1272</v>
      </c>
      <c r="CN21" s="917">
        <f t="shared" si="14"/>
        <v>751.75</v>
      </c>
      <c r="CO21" s="918">
        <f>CL21+CM21-CI21</f>
        <v>2023.75</v>
      </c>
      <c r="CP21" s="919"/>
      <c r="CQ21" s="912">
        <v>12</v>
      </c>
      <c r="CR21" s="1" t="s">
        <v>158</v>
      </c>
      <c r="CS21" s="47">
        <f>SUM(CS22:CS24)</f>
        <v>143325.23333333334</v>
      </c>
      <c r="CT21" s="101">
        <f>SUM(CT22:CT24)</f>
        <v>0</v>
      </c>
      <c r="CU21" s="111">
        <f>SUM(CU22:CU24)</f>
        <v>0</v>
      </c>
      <c r="CV21" s="101">
        <f>SUM(CV22:CV24)</f>
        <v>0</v>
      </c>
      <c r="CW21" s="2"/>
      <c r="CX21" s="91">
        <f>SUM(CX22:CX24)</f>
        <v>143325.23333333334</v>
      </c>
      <c r="CY21" s="33">
        <f t="shared" si="15"/>
        <v>0</v>
      </c>
      <c r="CZ21" s="33">
        <f t="shared" si="16"/>
        <v>1</v>
      </c>
      <c r="DA21" s="101">
        <f>SUM(DA22:DA24)</f>
        <v>144060.59999999998</v>
      </c>
      <c r="DB21" s="1">
        <v>1272</v>
      </c>
      <c r="DC21" s="48">
        <f t="shared" si="17"/>
        <v>735.3666666666395</v>
      </c>
      <c r="DD21" s="29">
        <f>DA21+DB21-CX21</f>
        <v>2007.3666666666395</v>
      </c>
      <c r="DE21" s="920"/>
      <c r="DF21" s="912">
        <v>12</v>
      </c>
      <c r="DG21" s="1" t="s">
        <v>158</v>
      </c>
      <c r="DH21" s="47">
        <f>SUM(DH22:DH24)</f>
        <v>130120.33333333336</v>
      </c>
      <c r="DI21" s="101">
        <f>SUM(DI22:DI24)</f>
        <v>0</v>
      </c>
      <c r="DJ21" s="111">
        <f>SUM(DJ22:DJ24)</f>
        <v>0</v>
      </c>
      <c r="DK21" s="101">
        <f>SUM(DK22:DK24)</f>
        <v>0</v>
      </c>
      <c r="DL21" s="3"/>
      <c r="DM21" s="91">
        <f>SUM(DM22:DM24)</f>
        <v>130120.33333333336</v>
      </c>
      <c r="DN21" s="33">
        <f t="shared" si="18"/>
        <v>0</v>
      </c>
      <c r="DO21" s="33">
        <f t="shared" si="19"/>
        <v>1</v>
      </c>
      <c r="DP21" s="38">
        <f>SUM(DP22:DP24)</f>
        <v>133638</v>
      </c>
      <c r="DQ21" s="1">
        <v>1272</v>
      </c>
      <c r="DR21" s="48">
        <f t="shared" si="20"/>
        <v>3517.6666666666424</v>
      </c>
      <c r="DS21" s="29">
        <f>DP21+DQ21-DM21</f>
        <v>4789.6666666666424</v>
      </c>
      <c r="DT21" s="921"/>
      <c r="DU21" s="912">
        <v>12</v>
      </c>
      <c r="DV21" s="1" t="s">
        <v>158</v>
      </c>
      <c r="DW21" s="47">
        <f>SUM(DW22:DW24)</f>
        <v>141872.36666666664</v>
      </c>
      <c r="DX21" s="101">
        <f>SUM(DX22:DX24)</f>
        <v>0</v>
      </c>
      <c r="DY21" s="111">
        <f>SUM(DY22:DY24)</f>
        <v>0</v>
      </c>
      <c r="DZ21" s="101">
        <f>SUM(DZ22:DZ24)</f>
        <v>0</v>
      </c>
      <c r="EA21" s="2"/>
      <c r="EB21" s="91">
        <f>SUM(EB22:EB24)</f>
        <v>141872.36666666664</v>
      </c>
      <c r="EC21" s="33">
        <f t="shared" si="21"/>
        <v>0</v>
      </c>
      <c r="ED21" s="33">
        <f t="shared" si="22"/>
        <v>1</v>
      </c>
      <c r="EE21" s="101">
        <f>SUM(EE22:EE24)</f>
        <v>139641.29999999999</v>
      </c>
      <c r="EF21" s="1">
        <v>1272</v>
      </c>
      <c r="EG21" s="48">
        <f t="shared" si="23"/>
        <v>-2231.0666666666511</v>
      </c>
      <c r="EH21" s="29">
        <f>EE21+EF21-EB21</f>
        <v>-959.06666666665114</v>
      </c>
      <c r="EI21" s="941"/>
      <c r="EJ21" s="912">
        <v>12</v>
      </c>
      <c r="EK21" s="1" t="s">
        <v>158</v>
      </c>
      <c r="EL21" s="47">
        <f>SUM(EL22:EL24)</f>
        <v>140444.11666666667</v>
      </c>
      <c r="EM21" s="101">
        <f>SUM(EM22:EM24)</f>
        <v>0</v>
      </c>
      <c r="EN21" s="111">
        <f>SUM(EN22:EN24)</f>
        <v>0</v>
      </c>
      <c r="EO21" s="101">
        <f>SUM(EO22:EO24)</f>
        <v>0</v>
      </c>
      <c r="EP21" s="2"/>
      <c r="EQ21" s="91">
        <f>SUM(EQ22:EQ24)</f>
        <v>140444.11666666667</v>
      </c>
      <c r="ER21" s="33">
        <f t="shared" si="24"/>
        <v>0</v>
      </c>
      <c r="ES21" s="33">
        <f t="shared" si="25"/>
        <v>1</v>
      </c>
      <c r="ET21" s="101">
        <f>SUM(ET22:ET24)</f>
        <v>141199.59999999998</v>
      </c>
      <c r="EU21" s="1">
        <v>1272</v>
      </c>
      <c r="EV21" s="48">
        <f t="shared" si="26"/>
        <v>755.48333333330811</v>
      </c>
      <c r="EW21" s="29">
        <f>ET21+EU21-EQ21</f>
        <v>2027.4833333333081</v>
      </c>
      <c r="EX21" s="925"/>
      <c r="EY21" s="912">
        <v>12</v>
      </c>
      <c r="EZ21" s="1" t="s">
        <v>158</v>
      </c>
      <c r="FA21" s="3">
        <f>SUM(FA22:FA24)</f>
        <v>141949.43333333335</v>
      </c>
      <c r="FB21" s="101">
        <f>SUM(FB22:FB24)</f>
        <v>0</v>
      </c>
      <c r="FC21" s="111">
        <f>SUM(FC22:FC24)</f>
        <v>0</v>
      </c>
      <c r="FD21" s="101">
        <f>SUM(FD22:FD24)</f>
        <v>0</v>
      </c>
      <c r="FE21" s="2"/>
      <c r="FF21" s="91">
        <f>SUM(FF22:FF24)</f>
        <v>141949.43333333335</v>
      </c>
      <c r="FG21" s="33">
        <f t="shared" si="27"/>
        <v>0</v>
      </c>
      <c r="FH21" s="33">
        <f t="shared" si="28"/>
        <v>1</v>
      </c>
      <c r="FI21" s="50">
        <f>SUM(FI22:FI24)</f>
        <v>145528.29999999999</v>
      </c>
      <c r="FJ21" s="1">
        <v>1272</v>
      </c>
      <c r="FK21" s="48">
        <f t="shared" si="29"/>
        <v>3578.8666666666395</v>
      </c>
      <c r="FL21" s="29">
        <f>FI21+FJ21-FF21</f>
        <v>4850.8666666666395</v>
      </c>
      <c r="FM21" s="927"/>
      <c r="FN21" s="910">
        <v>12</v>
      </c>
      <c r="FO21" s="1" t="s">
        <v>158</v>
      </c>
      <c r="FP21" s="3">
        <f>SUM(FP22:FP24)</f>
        <v>138171.66666666666</v>
      </c>
      <c r="FQ21" s="101">
        <f>SUM(FQ22:FQ24)</f>
        <v>0</v>
      </c>
      <c r="FR21" s="111">
        <f>SUM(FR22:FR24)</f>
        <v>0</v>
      </c>
      <c r="FS21" s="101">
        <f>SUM(FS22:FS24)</f>
        <v>0</v>
      </c>
      <c r="FT21" s="3"/>
      <c r="FU21" s="91">
        <f>SUM(FU22:FU24)</f>
        <v>138171.66666666666</v>
      </c>
      <c r="FV21" s="33">
        <f t="shared" si="30"/>
        <v>0</v>
      </c>
      <c r="FW21" s="33">
        <f t="shared" si="31"/>
        <v>1</v>
      </c>
      <c r="FX21" s="38">
        <f>SUM(FX22:FX24)</f>
        <v>135988.29999999999</v>
      </c>
      <c r="FY21" s="1">
        <v>1272</v>
      </c>
      <c r="FZ21" s="48">
        <f t="shared" si="32"/>
        <v>-2183.3666666666686</v>
      </c>
      <c r="GA21" s="29">
        <f>FX21+FY21-FU21</f>
        <v>-911.36666666666861</v>
      </c>
    </row>
    <row r="22" spans="1:183">
      <c r="A22" s="906"/>
      <c r="B22" s="907">
        <v>13</v>
      </c>
      <c r="C22" s="876" t="s">
        <v>159</v>
      </c>
      <c r="D22" s="928">
        <v>11709.133333333337</v>
      </c>
      <c r="E22" s="928">
        <v>62.1</v>
      </c>
      <c r="F22" s="6">
        <v>210.7</v>
      </c>
      <c r="G22" s="106">
        <v>151</v>
      </c>
      <c r="H22" s="876"/>
      <c r="I22" s="93">
        <f>D22+E22+F22+H22-G22</f>
        <v>11830.933333333338</v>
      </c>
      <c r="J22" s="929">
        <v>10330</v>
      </c>
      <c r="K22" s="930">
        <f>(G22-H22)/(D22+E22+F22)</f>
        <v>1.2602306806358456E-2</v>
      </c>
      <c r="L22" s="930">
        <f>1-((G22-H22)/(D22+E22+F22))</f>
        <v>0.98739769319364157</v>
      </c>
      <c r="M22" s="912">
        <v>11720</v>
      </c>
      <c r="N22" s="876"/>
      <c r="O22" s="931">
        <f t="shared" si="0"/>
        <v>-110.93333333333794</v>
      </c>
      <c r="P22" s="918"/>
      <c r="Q22" s="909"/>
      <c r="R22" s="910">
        <v>13</v>
      </c>
      <c r="S22" s="876" t="s">
        <v>159</v>
      </c>
      <c r="T22" s="933">
        <v>11709.133333333337</v>
      </c>
      <c r="U22" s="933">
        <v>57.733333333333356</v>
      </c>
      <c r="V22" s="946"/>
      <c r="W22" s="106">
        <v>118</v>
      </c>
      <c r="X22" s="876"/>
      <c r="Y22" s="93">
        <f>T22+U22+V22+X22-W22</f>
        <v>11648.86666666667</v>
      </c>
      <c r="Z22" s="929">
        <v>11708</v>
      </c>
      <c r="AA22" s="930">
        <f t="shared" si="1"/>
        <v>1.0028158161617647E-2</v>
      </c>
      <c r="AB22" s="930">
        <f>1-((W22-X22)/(T22+U22+V22))</f>
        <v>0.98997184183838238</v>
      </c>
      <c r="AC22" s="876">
        <v>11720</v>
      </c>
      <c r="AD22" s="876"/>
      <c r="AE22" s="931">
        <f t="shared" si="2"/>
        <v>71.133333333329574</v>
      </c>
      <c r="AF22" s="918"/>
      <c r="AG22" s="911"/>
      <c r="AH22" s="912">
        <v>13</v>
      </c>
      <c r="AI22" s="876" t="s">
        <v>159</v>
      </c>
      <c r="AJ22" s="933">
        <v>10644.66666666667</v>
      </c>
      <c r="AK22" s="933">
        <v>7.5</v>
      </c>
      <c r="AL22" s="946"/>
      <c r="AM22" s="106">
        <v>102</v>
      </c>
      <c r="AN22" s="876"/>
      <c r="AO22" s="93">
        <f>AJ22+AK22+AL22+AN22-AM22</f>
        <v>10550.16666666667</v>
      </c>
      <c r="AP22" s="934"/>
      <c r="AQ22" s="930">
        <f t="shared" si="3"/>
        <v>9.5755167180385809E-3</v>
      </c>
      <c r="AR22" s="930">
        <f t="shared" si="4"/>
        <v>0.99042448328196142</v>
      </c>
      <c r="AS22" s="876">
        <v>10655</v>
      </c>
      <c r="AT22" s="876"/>
      <c r="AU22" s="931">
        <f t="shared" si="5"/>
        <v>104.8333333333303</v>
      </c>
      <c r="AV22" s="918"/>
      <c r="AW22" s="913"/>
      <c r="AX22" s="910">
        <v>13</v>
      </c>
      <c r="AY22" s="876" t="s">
        <v>159</v>
      </c>
      <c r="AZ22" s="933">
        <v>12241.36666666667</v>
      </c>
      <c r="BA22" s="933">
        <v>5.3666666666666671</v>
      </c>
      <c r="BB22" s="946"/>
      <c r="BC22" s="106">
        <v>95</v>
      </c>
      <c r="BD22" s="876"/>
      <c r="BE22" s="93">
        <f>AZ22+BA22+BB22+BD22-BC22</f>
        <v>12151.733333333337</v>
      </c>
      <c r="BF22" s="930">
        <f t="shared" si="6"/>
        <v>7.7571706196482302E-3</v>
      </c>
      <c r="BG22" s="930">
        <f t="shared" si="7"/>
        <v>0.9922428293803518</v>
      </c>
      <c r="BH22" s="912">
        <v>12253</v>
      </c>
      <c r="BI22" s="876"/>
      <c r="BJ22" s="935">
        <f t="shared" si="8"/>
        <v>101.26666666666279</v>
      </c>
      <c r="BK22" s="918"/>
      <c r="BL22" s="914"/>
      <c r="BM22" s="912">
        <v>14</v>
      </c>
      <c r="BN22" s="876" t="s">
        <v>159</v>
      </c>
      <c r="BO22" s="876">
        <v>10644.66666666667</v>
      </c>
      <c r="BP22" s="933"/>
      <c r="BQ22" s="946"/>
      <c r="BR22" s="106"/>
      <c r="BS22" s="430"/>
      <c r="BT22" s="93">
        <f>BO22+BP22+BQ22+BS22-BR22</f>
        <v>10644.66666666667</v>
      </c>
      <c r="BU22" s="930">
        <f t="shared" si="9"/>
        <v>0</v>
      </c>
      <c r="BV22" s="930">
        <f t="shared" si="10"/>
        <v>1</v>
      </c>
      <c r="BW22" s="936">
        <v>10654.666666666668</v>
      </c>
      <c r="BX22" s="430"/>
      <c r="BY22" s="917">
        <f t="shared" si="11"/>
        <v>9.999999999998181</v>
      </c>
      <c r="BZ22" s="918"/>
      <c r="CA22" s="915"/>
      <c r="CB22" s="912">
        <v>13</v>
      </c>
      <c r="CC22" s="876" t="s">
        <v>159</v>
      </c>
      <c r="CD22" s="876">
        <v>11176.9</v>
      </c>
      <c r="CE22" s="933"/>
      <c r="CF22" s="946"/>
      <c r="CG22" s="106"/>
      <c r="CH22" s="430"/>
      <c r="CI22" s="93">
        <f>CD22+CE22+CF22+CH22-CG22</f>
        <v>11176.9</v>
      </c>
      <c r="CJ22" s="930">
        <f t="shared" si="12"/>
        <v>0</v>
      </c>
      <c r="CK22" s="930">
        <f t="shared" si="13"/>
        <v>1</v>
      </c>
      <c r="CL22" s="430">
        <v>11187.4</v>
      </c>
      <c r="CM22" s="937"/>
      <c r="CN22" s="917">
        <f t="shared" si="14"/>
        <v>10.5</v>
      </c>
      <c r="CO22" s="918"/>
      <c r="CP22" s="919"/>
      <c r="CQ22" s="912">
        <v>13</v>
      </c>
      <c r="CR22" s="876" t="s">
        <v>159</v>
      </c>
      <c r="CS22" s="876">
        <v>11709.133333333337</v>
      </c>
      <c r="CT22" s="933"/>
      <c r="CU22" s="946"/>
      <c r="CV22" s="106"/>
      <c r="CW22" s="430"/>
      <c r="CX22" s="93">
        <f>CS22+CT22+CU22+CW22-CV22</f>
        <v>11709.133333333337</v>
      </c>
      <c r="CY22" s="930">
        <f t="shared" si="15"/>
        <v>0</v>
      </c>
      <c r="CZ22" s="930">
        <f t="shared" si="16"/>
        <v>1</v>
      </c>
      <c r="DA22" s="936">
        <v>11720.133333333333</v>
      </c>
      <c r="DB22" s="430"/>
      <c r="DC22" s="938">
        <f t="shared" si="17"/>
        <v>10.999999999996362</v>
      </c>
      <c r="DD22" s="939"/>
      <c r="DE22" s="920"/>
      <c r="DF22" s="912">
        <v>13</v>
      </c>
      <c r="DG22" s="876" t="s">
        <v>159</v>
      </c>
      <c r="DH22" s="933">
        <v>10644.66666666667</v>
      </c>
      <c r="DI22" s="933"/>
      <c r="DJ22" s="946"/>
      <c r="DK22" s="106"/>
      <c r="DL22" s="876"/>
      <c r="DM22" s="93">
        <f>DH22+DI22+DJ22+DL22-DK22</f>
        <v>10644.66666666667</v>
      </c>
      <c r="DN22" s="930">
        <f t="shared" si="18"/>
        <v>0</v>
      </c>
      <c r="DO22" s="930">
        <f t="shared" si="19"/>
        <v>1</v>
      </c>
      <c r="DP22" s="940">
        <v>10654.666666666668</v>
      </c>
      <c r="DQ22" s="876"/>
      <c r="DR22" s="938">
        <f t="shared" si="20"/>
        <v>9.999999999998181</v>
      </c>
      <c r="DS22" s="939"/>
      <c r="DT22" s="921"/>
      <c r="DU22" s="912">
        <v>13</v>
      </c>
      <c r="DV22" s="876" t="s">
        <v>159</v>
      </c>
      <c r="DW22" s="933">
        <v>11176.9</v>
      </c>
      <c r="DX22" s="933"/>
      <c r="DY22" s="946"/>
      <c r="DZ22" s="106"/>
      <c r="EA22" s="430"/>
      <c r="EB22" s="93">
        <f>DW22+DX22+DY22+EA22-DZ22</f>
        <v>11176.9</v>
      </c>
      <c r="EC22" s="930">
        <f t="shared" si="21"/>
        <v>0</v>
      </c>
      <c r="ED22" s="930">
        <f t="shared" si="22"/>
        <v>1</v>
      </c>
      <c r="EE22" s="936">
        <v>11187.4</v>
      </c>
      <c r="EF22" s="430"/>
      <c r="EG22" s="938">
        <f t="shared" si="23"/>
        <v>10.5</v>
      </c>
      <c r="EH22" s="939"/>
      <c r="EI22" s="941"/>
      <c r="EJ22" s="912">
        <v>13</v>
      </c>
      <c r="EK22" s="876" t="s">
        <v>159</v>
      </c>
      <c r="EL22" s="933">
        <v>11709.133333333337</v>
      </c>
      <c r="EM22" s="933"/>
      <c r="EN22" s="946"/>
      <c r="EO22" s="106"/>
      <c r="EP22" s="430"/>
      <c r="EQ22" s="93">
        <f>EL22+EM22+EN22+EP22-EO22</f>
        <v>11709.133333333337</v>
      </c>
      <c r="ER22" s="930">
        <f t="shared" si="24"/>
        <v>0</v>
      </c>
      <c r="ES22" s="930">
        <f t="shared" si="25"/>
        <v>1</v>
      </c>
      <c r="ET22" s="430">
        <v>11720.133333333333</v>
      </c>
      <c r="EU22" s="430"/>
      <c r="EV22" s="938">
        <f t="shared" si="26"/>
        <v>10.999999999996362</v>
      </c>
      <c r="EW22" s="939"/>
      <c r="EX22" s="925"/>
      <c r="EY22" s="912">
        <v>13</v>
      </c>
      <c r="EZ22" s="876" t="s">
        <v>159</v>
      </c>
      <c r="FA22" s="876">
        <v>11176.9</v>
      </c>
      <c r="FB22" s="933"/>
      <c r="FC22" s="946"/>
      <c r="FD22" s="106"/>
      <c r="FE22" s="430"/>
      <c r="FF22" s="93">
        <f>FA22+FB22+FC22+FE22-FD22</f>
        <v>11176.9</v>
      </c>
      <c r="FG22" s="930">
        <f t="shared" si="27"/>
        <v>0</v>
      </c>
      <c r="FH22" s="930">
        <f t="shared" si="28"/>
        <v>1</v>
      </c>
      <c r="FI22" s="936">
        <v>11187.4</v>
      </c>
      <c r="FJ22" s="430"/>
      <c r="FK22" s="938">
        <f t="shared" si="29"/>
        <v>10.5</v>
      </c>
      <c r="FL22" s="939"/>
      <c r="FM22" s="927"/>
      <c r="FN22" s="910">
        <v>13</v>
      </c>
      <c r="FO22" s="876" t="s">
        <v>159</v>
      </c>
      <c r="FP22" s="876">
        <v>11176.9</v>
      </c>
      <c r="FQ22" s="933"/>
      <c r="FR22" s="946"/>
      <c r="FS22" s="106"/>
      <c r="FT22" s="876"/>
      <c r="FU22" s="93">
        <f>FP22+FQ22+FR22+FT22-FS22</f>
        <v>11176.9</v>
      </c>
      <c r="FV22" s="930">
        <f t="shared" si="30"/>
        <v>0</v>
      </c>
      <c r="FW22" s="930">
        <f t="shared" si="31"/>
        <v>1</v>
      </c>
      <c r="FX22" s="940">
        <v>11187.4</v>
      </c>
      <c r="FY22" s="876"/>
      <c r="FZ22" s="938">
        <f t="shared" si="32"/>
        <v>10.5</v>
      </c>
      <c r="GA22" s="939"/>
    </row>
    <row r="23" spans="1:183">
      <c r="A23" s="906"/>
      <c r="B23" s="907">
        <v>14</v>
      </c>
      <c r="C23" s="876" t="s">
        <v>160</v>
      </c>
      <c r="D23" s="928">
        <v>67494.733333333323</v>
      </c>
      <c r="E23" s="928">
        <v>1187.1333333333334</v>
      </c>
      <c r="F23" s="943"/>
      <c r="G23" s="106">
        <v>481</v>
      </c>
      <c r="H23" s="876"/>
      <c r="I23" s="93">
        <f>D23+E23+F23+H23-G23</f>
        <v>68200.866666666654</v>
      </c>
      <c r="J23" s="929">
        <v>64093</v>
      </c>
      <c r="K23" s="930">
        <f>(G23-H23)/(D23+E23+F23)</f>
        <v>7.0033041229708385E-3</v>
      </c>
      <c r="L23" s="930">
        <f>1-((G23-H23)/(D23+E23+F23))</f>
        <v>0.99299669587702921</v>
      </c>
      <c r="M23" s="912">
        <v>67792</v>
      </c>
      <c r="N23" s="876"/>
      <c r="O23" s="931">
        <f t="shared" si="0"/>
        <v>-408.86666666665406</v>
      </c>
      <c r="P23" s="918"/>
      <c r="Q23" s="909"/>
      <c r="R23" s="910">
        <v>14</v>
      </c>
      <c r="S23" s="876" t="s">
        <v>160</v>
      </c>
      <c r="T23" s="933">
        <v>67925.100000000006</v>
      </c>
      <c r="U23" s="933">
        <v>1138.1333333333332</v>
      </c>
      <c r="V23" s="946"/>
      <c r="W23" s="106">
        <v>665</v>
      </c>
      <c r="X23" s="876"/>
      <c r="Y23" s="93">
        <f>T23+U23+V23+X23-W23</f>
        <v>68398.233333333337</v>
      </c>
      <c r="Z23" s="929">
        <v>68067</v>
      </c>
      <c r="AA23" s="930">
        <f t="shared" si="1"/>
        <v>9.6288570329509625E-3</v>
      </c>
      <c r="AB23" s="930">
        <f>1-((W23-X23)/(T23+U23+V23))</f>
        <v>0.99037114296704909</v>
      </c>
      <c r="AC23" s="876">
        <v>68220</v>
      </c>
      <c r="AD23" s="876"/>
      <c r="AE23" s="931">
        <f t="shared" si="2"/>
        <v>-178.23333333333721</v>
      </c>
      <c r="AF23" s="918"/>
      <c r="AG23" s="911"/>
      <c r="AH23" s="912">
        <v>14</v>
      </c>
      <c r="AI23" s="876" t="s">
        <v>160</v>
      </c>
      <c r="AJ23" s="933">
        <v>64337.433333333349</v>
      </c>
      <c r="AK23" s="933">
        <v>1002.483333333333</v>
      </c>
      <c r="AL23" s="946"/>
      <c r="AM23" s="106">
        <v>636</v>
      </c>
      <c r="AN23" s="876"/>
      <c r="AO23" s="93">
        <f>AJ23+AK23+AL23+AN23-AM23</f>
        <v>64703.916666666679</v>
      </c>
      <c r="AP23" s="934"/>
      <c r="AQ23" s="930">
        <f t="shared" si="3"/>
        <v>9.733713056975124E-3</v>
      </c>
      <c r="AR23" s="930">
        <f t="shared" si="4"/>
        <v>0.99026628694302488</v>
      </c>
      <c r="AS23" s="876">
        <v>64492</v>
      </c>
      <c r="AT23" s="876"/>
      <c r="AU23" s="931">
        <f t="shared" si="5"/>
        <v>-211.91666666667879</v>
      </c>
      <c r="AV23" s="918"/>
      <c r="AW23" s="913"/>
      <c r="AX23" s="910">
        <v>14</v>
      </c>
      <c r="AY23" s="876" t="s">
        <v>160</v>
      </c>
      <c r="AZ23" s="933">
        <v>68542.133333333346</v>
      </c>
      <c r="BA23" s="933">
        <v>380.71666666666687</v>
      </c>
      <c r="BB23" s="946"/>
      <c r="BC23" s="106">
        <v>628</v>
      </c>
      <c r="BD23" s="876"/>
      <c r="BE23" s="93">
        <f>AZ23+BA23+BB23+BD23-BC23</f>
        <v>68294.850000000006</v>
      </c>
      <c r="BF23" s="930">
        <f t="shared" si="6"/>
        <v>9.1116371421088929E-3</v>
      </c>
      <c r="BG23" s="930">
        <f t="shared" si="7"/>
        <v>0.99088836285789106</v>
      </c>
      <c r="BH23" s="912">
        <v>68697</v>
      </c>
      <c r="BI23" s="876"/>
      <c r="BJ23" s="935">
        <f t="shared" si="8"/>
        <v>402.14999999999418</v>
      </c>
      <c r="BK23" s="918"/>
      <c r="BL23" s="914"/>
      <c r="BM23" s="912">
        <v>15</v>
      </c>
      <c r="BN23" s="876" t="s">
        <v>160</v>
      </c>
      <c r="BO23" s="876">
        <v>64760.666666666686</v>
      </c>
      <c r="BP23" s="933"/>
      <c r="BQ23" s="946"/>
      <c r="BR23" s="106"/>
      <c r="BS23" s="430"/>
      <c r="BT23" s="93">
        <f>BO23+BP23+BQ23+BS23-BR23</f>
        <v>64760.666666666686</v>
      </c>
      <c r="BU23" s="930">
        <f t="shared" si="9"/>
        <v>0</v>
      </c>
      <c r="BV23" s="930">
        <f t="shared" si="10"/>
        <v>1</v>
      </c>
      <c r="BW23" s="936">
        <v>64919.666666666664</v>
      </c>
      <c r="BX23" s="430"/>
      <c r="BY23" s="917">
        <f t="shared" si="11"/>
        <v>158.99999999997817</v>
      </c>
      <c r="BZ23" s="918"/>
      <c r="CA23" s="915"/>
      <c r="CB23" s="912">
        <v>14</v>
      </c>
      <c r="CC23" s="876" t="s">
        <v>160</v>
      </c>
      <c r="CD23" s="876">
        <v>66698.899999999994</v>
      </c>
      <c r="CE23" s="933"/>
      <c r="CF23" s="946"/>
      <c r="CG23" s="106"/>
      <c r="CH23" s="430"/>
      <c r="CI23" s="93">
        <f>CD23+CE23+CF23+CH23-CG23</f>
        <v>66698.899999999994</v>
      </c>
      <c r="CJ23" s="930">
        <f t="shared" si="12"/>
        <v>0</v>
      </c>
      <c r="CK23" s="930">
        <f t="shared" si="13"/>
        <v>1</v>
      </c>
      <c r="CL23" s="430">
        <v>66886.149999999994</v>
      </c>
      <c r="CM23" s="430"/>
      <c r="CN23" s="917">
        <f t="shared" si="14"/>
        <v>187.25</v>
      </c>
      <c r="CO23" s="918"/>
      <c r="CP23" s="919"/>
      <c r="CQ23" s="912">
        <v>14</v>
      </c>
      <c r="CR23" s="876" t="s">
        <v>160</v>
      </c>
      <c r="CS23" s="876">
        <v>67593.933333333349</v>
      </c>
      <c r="CT23" s="933"/>
      <c r="CU23" s="946"/>
      <c r="CV23" s="106"/>
      <c r="CW23" s="430"/>
      <c r="CX23" s="93">
        <f>CS23+CT23+CU23+CW23-CV23</f>
        <v>67593.933333333349</v>
      </c>
      <c r="CY23" s="930">
        <f t="shared" si="15"/>
        <v>0</v>
      </c>
      <c r="CZ23" s="930">
        <f t="shared" si="16"/>
        <v>1</v>
      </c>
      <c r="DA23" s="936">
        <v>67791.633333333331</v>
      </c>
      <c r="DB23" s="430"/>
      <c r="DC23" s="938">
        <f t="shared" si="17"/>
        <v>197.69999999998254</v>
      </c>
      <c r="DD23" s="939"/>
      <c r="DE23" s="920"/>
      <c r="DF23" s="912">
        <v>14</v>
      </c>
      <c r="DG23" s="876" t="s">
        <v>160</v>
      </c>
      <c r="DH23" s="933">
        <v>61364.366666666683</v>
      </c>
      <c r="DI23" s="933"/>
      <c r="DJ23" s="946"/>
      <c r="DK23" s="106"/>
      <c r="DL23" s="876"/>
      <c r="DM23" s="93">
        <f>DH23+DI23+DJ23+DL23-DK23</f>
        <v>61364.366666666683</v>
      </c>
      <c r="DN23" s="930">
        <f t="shared" si="18"/>
        <v>0</v>
      </c>
      <c r="DO23" s="930">
        <f t="shared" si="19"/>
        <v>1</v>
      </c>
      <c r="DP23" s="940">
        <v>63002.666666666664</v>
      </c>
      <c r="DQ23" s="876"/>
      <c r="DR23" s="938">
        <f t="shared" si="20"/>
        <v>1638.2999999999811</v>
      </c>
      <c r="DS23" s="939"/>
      <c r="DT23" s="921"/>
      <c r="DU23" s="912">
        <v>14</v>
      </c>
      <c r="DV23" s="876" t="s">
        <v>160</v>
      </c>
      <c r="DW23" s="933">
        <v>67135.75</v>
      </c>
      <c r="DX23" s="933"/>
      <c r="DY23" s="946"/>
      <c r="DZ23" s="106"/>
      <c r="EA23" s="430"/>
      <c r="EB23" s="93">
        <f>DW23+DX23+DY23+EA23-DZ23</f>
        <v>67135.75</v>
      </c>
      <c r="EC23" s="930">
        <f t="shared" si="21"/>
        <v>0</v>
      </c>
      <c r="ED23" s="930">
        <f t="shared" si="22"/>
        <v>1</v>
      </c>
      <c r="EE23" s="936">
        <v>65825.149999999994</v>
      </c>
      <c r="EF23" s="430"/>
      <c r="EG23" s="938">
        <f t="shared" si="23"/>
        <v>-1310.6000000000058</v>
      </c>
      <c r="EH23" s="939"/>
      <c r="EI23" s="941"/>
      <c r="EJ23" s="912">
        <v>14</v>
      </c>
      <c r="EK23" s="876" t="s">
        <v>160</v>
      </c>
      <c r="EL23" s="933">
        <v>66120.366666666683</v>
      </c>
      <c r="EM23" s="933"/>
      <c r="EN23" s="946"/>
      <c r="EO23" s="106"/>
      <c r="EP23" s="430"/>
      <c r="EQ23" s="93">
        <f>EL23+EM23+EN23+EP23-EO23</f>
        <v>66120.366666666683</v>
      </c>
      <c r="ER23" s="930">
        <f t="shared" si="24"/>
        <v>0</v>
      </c>
      <c r="ES23" s="930">
        <f t="shared" si="25"/>
        <v>1</v>
      </c>
      <c r="ET23" s="430">
        <v>66302.633333333331</v>
      </c>
      <c r="EU23" s="430"/>
      <c r="EV23" s="938">
        <f t="shared" si="26"/>
        <v>182.26666666664823</v>
      </c>
      <c r="EW23" s="939"/>
      <c r="EX23" s="925"/>
      <c r="EY23" s="912">
        <v>14</v>
      </c>
      <c r="EZ23" s="876" t="s">
        <v>160</v>
      </c>
      <c r="FA23" s="876">
        <v>67169.466666666674</v>
      </c>
      <c r="FB23" s="933"/>
      <c r="FC23" s="946"/>
      <c r="FD23" s="106"/>
      <c r="FE23" s="430"/>
      <c r="FF23" s="93">
        <f>FA23+FB23+FC23+FE23-FD23</f>
        <v>67169.466666666674</v>
      </c>
      <c r="FG23" s="930">
        <f t="shared" si="27"/>
        <v>0</v>
      </c>
      <c r="FH23" s="930">
        <f t="shared" si="28"/>
        <v>1</v>
      </c>
      <c r="FI23" s="936">
        <v>68803.149999999994</v>
      </c>
      <c r="FJ23" s="430"/>
      <c r="FK23" s="938">
        <f t="shared" si="29"/>
        <v>1633.6833333333198</v>
      </c>
      <c r="FL23" s="939"/>
      <c r="FM23" s="927"/>
      <c r="FN23" s="910">
        <v>14</v>
      </c>
      <c r="FO23" s="876" t="s">
        <v>160</v>
      </c>
      <c r="FP23" s="876">
        <v>65218.85</v>
      </c>
      <c r="FQ23" s="933"/>
      <c r="FR23" s="946"/>
      <c r="FS23" s="106"/>
      <c r="FT23" s="876"/>
      <c r="FU23" s="93">
        <f>FP23+FQ23+FR23+FT23-FS23</f>
        <v>65218.85</v>
      </c>
      <c r="FV23" s="930">
        <f t="shared" si="30"/>
        <v>0</v>
      </c>
      <c r="FW23" s="930">
        <f t="shared" si="31"/>
        <v>1</v>
      </c>
      <c r="FX23" s="940">
        <v>63908.15</v>
      </c>
      <c r="FY23" s="876"/>
      <c r="FZ23" s="938">
        <f t="shared" si="32"/>
        <v>-1310.6999999999971</v>
      </c>
      <c r="GA23" s="939"/>
    </row>
    <row r="24" spans="1:183">
      <c r="A24" s="906"/>
      <c r="B24" s="907">
        <v>15</v>
      </c>
      <c r="C24" s="876" t="s">
        <v>161</v>
      </c>
      <c r="D24" s="928">
        <v>63887.51666666667</v>
      </c>
      <c r="E24" s="928">
        <v>578.83333333333314</v>
      </c>
      <c r="F24" s="67">
        <v>136.31666666666666</v>
      </c>
      <c r="G24" s="106">
        <v>596</v>
      </c>
      <c r="H24" s="876"/>
      <c r="I24" s="93">
        <f>D24+E24+F24+H24-G24</f>
        <v>64006.666666666672</v>
      </c>
      <c r="J24" s="929">
        <v>60853</v>
      </c>
      <c r="K24" s="930">
        <f>(G24-H24)/(D24+E24+F24)</f>
        <v>9.2256253611821999E-3</v>
      </c>
      <c r="L24" s="930">
        <f>1-((G24-H24)/(D24+E24+F24))</f>
        <v>0.99077437463881779</v>
      </c>
      <c r="M24" s="912">
        <v>64604</v>
      </c>
      <c r="N24" s="876"/>
      <c r="O24" s="931">
        <f t="shared" si="0"/>
        <v>597.33333333332848</v>
      </c>
      <c r="P24" s="918"/>
      <c r="Q24" s="909"/>
      <c r="R24" s="910">
        <v>15</v>
      </c>
      <c r="S24" s="876" t="s">
        <v>161</v>
      </c>
      <c r="T24" s="876">
        <v>64245.2</v>
      </c>
      <c r="U24" s="876">
        <v>597.65</v>
      </c>
      <c r="V24" s="9">
        <v>0</v>
      </c>
      <c r="W24" s="106">
        <v>581</v>
      </c>
      <c r="X24" s="876"/>
      <c r="Y24" s="93">
        <f>T24+U24+V24+X24-W24</f>
        <v>64261.85</v>
      </c>
      <c r="Z24" s="929">
        <v>64449</v>
      </c>
      <c r="AA24" s="930">
        <f t="shared" si="1"/>
        <v>8.9601243622080152E-3</v>
      </c>
      <c r="AB24" s="930">
        <f>1-((W24-X24)/(T24+U24+V24))</f>
        <v>0.99103987563779194</v>
      </c>
      <c r="AC24" s="876">
        <v>64913</v>
      </c>
      <c r="AD24" s="876"/>
      <c r="AE24" s="931">
        <f t="shared" si="2"/>
        <v>651.15000000000146</v>
      </c>
      <c r="AF24" s="918"/>
      <c r="AG24" s="911"/>
      <c r="AH24" s="912">
        <v>15</v>
      </c>
      <c r="AI24" s="876" t="s">
        <v>161</v>
      </c>
      <c r="AJ24" s="933">
        <v>60964.816666666658</v>
      </c>
      <c r="AK24" s="933">
        <v>503.43333333333328</v>
      </c>
      <c r="AL24" s="12">
        <v>0</v>
      </c>
      <c r="AM24" s="106">
        <v>668</v>
      </c>
      <c r="AN24" s="876"/>
      <c r="AO24" s="93">
        <f>AJ24+AK24+AL24+AN24-AM24</f>
        <v>60800.249999999993</v>
      </c>
      <c r="AP24" s="934"/>
      <c r="AQ24" s="930">
        <f t="shared" si="3"/>
        <v>1.0867399023072889E-2</v>
      </c>
      <c r="AR24" s="930">
        <f t="shared" si="4"/>
        <v>0.98913260097692712</v>
      </c>
      <c r="AS24" s="876">
        <v>61408</v>
      </c>
      <c r="AT24" s="876"/>
      <c r="AU24" s="931">
        <f t="shared" si="5"/>
        <v>607.75000000000728</v>
      </c>
      <c r="AV24" s="918"/>
      <c r="AW24" s="913"/>
      <c r="AX24" s="910">
        <v>15</v>
      </c>
      <c r="AY24" s="876" t="s">
        <v>161</v>
      </c>
      <c r="AZ24" s="933">
        <v>64924.066666666658</v>
      </c>
      <c r="BA24" s="933">
        <v>17.133333333333329</v>
      </c>
      <c r="BB24" s="12">
        <v>261.21666666666664</v>
      </c>
      <c r="BC24" s="106">
        <v>543</v>
      </c>
      <c r="BD24" s="876"/>
      <c r="BE24" s="93">
        <f>AZ24+BA24+BB24+BD24-BC24</f>
        <v>64659.416666666657</v>
      </c>
      <c r="BF24" s="930">
        <f t="shared" si="6"/>
        <v>8.3279121811691559E-3</v>
      </c>
      <c r="BG24" s="930">
        <f t="shared" si="7"/>
        <v>0.99167208781883087</v>
      </c>
      <c r="BH24" s="912">
        <v>65406</v>
      </c>
      <c r="BI24" s="876"/>
      <c r="BJ24" s="935">
        <f t="shared" si="8"/>
        <v>746.58333333334303</v>
      </c>
      <c r="BK24" s="918"/>
      <c r="BL24" s="914"/>
      <c r="BM24" s="912"/>
      <c r="BN24" s="876" t="s">
        <v>161</v>
      </c>
      <c r="BO24" s="876">
        <v>61312.183333333327</v>
      </c>
      <c r="BP24" s="933"/>
      <c r="BQ24" s="12"/>
      <c r="BR24" s="106"/>
      <c r="BS24" s="430"/>
      <c r="BT24" s="93">
        <f>BO24+BP24+BQ24+BS24-BR24</f>
        <v>61312.183333333327</v>
      </c>
      <c r="BU24" s="930">
        <f t="shared" si="9"/>
        <v>0</v>
      </c>
      <c r="BV24" s="930">
        <f t="shared" si="10"/>
        <v>1</v>
      </c>
      <c r="BW24" s="936">
        <v>61826.666666666664</v>
      </c>
      <c r="BX24" s="430"/>
      <c r="BY24" s="917">
        <f t="shared" si="11"/>
        <v>514.48333333333721</v>
      </c>
      <c r="BZ24" s="918"/>
      <c r="CA24" s="915"/>
      <c r="CB24" s="912">
        <v>15</v>
      </c>
      <c r="CC24" s="876" t="s">
        <v>161</v>
      </c>
      <c r="CD24" s="876">
        <v>63192.75</v>
      </c>
      <c r="CE24" s="933"/>
      <c r="CF24" s="12"/>
      <c r="CG24" s="106"/>
      <c r="CH24" s="430"/>
      <c r="CI24" s="93">
        <f>CD24+CE24+CF24+CH24-CG24</f>
        <v>63192.75</v>
      </c>
      <c r="CJ24" s="930">
        <f t="shared" si="12"/>
        <v>0</v>
      </c>
      <c r="CK24" s="930">
        <f t="shared" si="13"/>
        <v>1</v>
      </c>
      <c r="CL24" s="430">
        <v>63746.75</v>
      </c>
      <c r="CM24" s="430"/>
      <c r="CN24" s="917">
        <f t="shared" si="14"/>
        <v>554</v>
      </c>
      <c r="CO24" s="918"/>
      <c r="CP24" s="919"/>
      <c r="CQ24" s="912">
        <v>15</v>
      </c>
      <c r="CR24" s="876" t="s">
        <v>161</v>
      </c>
      <c r="CS24" s="876">
        <v>64022.166666666657</v>
      </c>
      <c r="CT24" s="933"/>
      <c r="CU24" s="12"/>
      <c r="CV24" s="106"/>
      <c r="CW24" s="430"/>
      <c r="CX24" s="93">
        <f>CS24+CT24+CU24+CW24-CV24</f>
        <v>64022.166666666657</v>
      </c>
      <c r="CY24" s="930">
        <f t="shared" si="15"/>
        <v>0</v>
      </c>
      <c r="CZ24" s="930">
        <f t="shared" si="16"/>
        <v>1</v>
      </c>
      <c r="DA24" s="936">
        <v>64548.833333333328</v>
      </c>
      <c r="DB24" s="430"/>
      <c r="DC24" s="938">
        <f t="shared" si="17"/>
        <v>526.66666666667152</v>
      </c>
      <c r="DD24" s="939"/>
      <c r="DE24" s="920"/>
      <c r="DF24" s="912">
        <v>15</v>
      </c>
      <c r="DG24" s="876" t="s">
        <v>161</v>
      </c>
      <c r="DH24" s="933">
        <v>58111.3</v>
      </c>
      <c r="DI24" s="933"/>
      <c r="DJ24" s="12"/>
      <c r="DK24" s="106"/>
      <c r="DL24" s="876"/>
      <c r="DM24" s="93">
        <f>DH24+DI24+DJ24+DL24-DK24</f>
        <v>58111.3</v>
      </c>
      <c r="DN24" s="930">
        <f t="shared" si="18"/>
        <v>0</v>
      </c>
      <c r="DO24" s="930">
        <f t="shared" si="19"/>
        <v>1</v>
      </c>
      <c r="DP24" s="940">
        <v>59980.666666666664</v>
      </c>
      <c r="DQ24" s="876"/>
      <c r="DR24" s="938">
        <f t="shared" si="20"/>
        <v>1869.3666666666613</v>
      </c>
      <c r="DS24" s="939"/>
      <c r="DT24" s="921"/>
      <c r="DU24" s="912">
        <v>15</v>
      </c>
      <c r="DV24" s="876" t="s">
        <v>161</v>
      </c>
      <c r="DW24" s="933">
        <v>63559.71666666666</v>
      </c>
      <c r="DX24" s="933"/>
      <c r="DY24" s="12"/>
      <c r="DZ24" s="106"/>
      <c r="EA24" s="430"/>
      <c r="EB24" s="93">
        <f>DW24+DX24+DY24+EA24-DZ24</f>
        <v>63559.71666666666</v>
      </c>
      <c r="EC24" s="930">
        <f t="shared" si="21"/>
        <v>0</v>
      </c>
      <c r="ED24" s="930">
        <f t="shared" si="22"/>
        <v>1</v>
      </c>
      <c r="EE24" s="936">
        <v>62628.75</v>
      </c>
      <c r="EF24" s="430"/>
      <c r="EG24" s="938">
        <f t="shared" si="23"/>
        <v>-930.96666666665988</v>
      </c>
      <c r="EH24" s="939"/>
      <c r="EI24" s="941"/>
      <c r="EJ24" s="912">
        <v>15</v>
      </c>
      <c r="EK24" s="876" t="s">
        <v>161</v>
      </c>
      <c r="EL24" s="933">
        <v>62614.616666666661</v>
      </c>
      <c r="EM24" s="933"/>
      <c r="EN24" s="12"/>
      <c r="EO24" s="106"/>
      <c r="EP24" s="430"/>
      <c r="EQ24" s="93">
        <f>EL24+EM24+EN24+EP24-EO24</f>
        <v>62614.616666666661</v>
      </c>
      <c r="ER24" s="930">
        <f t="shared" si="24"/>
        <v>0</v>
      </c>
      <c r="ES24" s="930">
        <f t="shared" si="25"/>
        <v>1</v>
      </c>
      <c r="ET24" s="430">
        <v>63176.833333333314</v>
      </c>
      <c r="EU24" s="430"/>
      <c r="EV24" s="938">
        <f t="shared" si="26"/>
        <v>562.2166666666526</v>
      </c>
      <c r="EW24" s="939"/>
      <c r="EX24" s="925"/>
      <c r="EY24" s="912">
        <v>15</v>
      </c>
      <c r="EZ24" s="876" t="s">
        <v>161</v>
      </c>
      <c r="FA24" s="876">
        <v>63603.066666666666</v>
      </c>
      <c r="FB24" s="933"/>
      <c r="FC24" s="12"/>
      <c r="FD24" s="106"/>
      <c r="FE24" s="430"/>
      <c r="FF24" s="93">
        <f>FA24+FB24+FC24+FE24-FD24</f>
        <v>63603.066666666666</v>
      </c>
      <c r="FG24" s="930">
        <f t="shared" si="27"/>
        <v>0</v>
      </c>
      <c r="FH24" s="930">
        <f t="shared" si="28"/>
        <v>1</v>
      </c>
      <c r="FI24" s="936">
        <v>65537.75</v>
      </c>
      <c r="FJ24" s="430"/>
      <c r="FK24" s="938">
        <f t="shared" si="29"/>
        <v>1934.6833333333343</v>
      </c>
      <c r="FL24" s="939"/>
      <c r="FM24" s="927"/>
      <c r="FN24" s="910">
        <v>15</v>
      </c>
      <c r="FO24" s="876" t="s">
        <v>161</v>
      </c>
      <c r="FP24" s="876">
        <v>61775.916666666664</v>
      </c>
      <c r="FQ24" s="933"/>
      <c r="FR24" s="12"/>
      <c r="FS24" s="106"/>
      <c r="FT24" s="876"/>
      <c r="FU24" s="93">
        <f>FP24+FQ24+FR24+FT24-FS24</f>
        <v>61775.916666666664</v>
      </c>
      <c r="FV24" s="930">
        <f t="shared" si="30"/>
        <v>0</v>
      </c>
      <c r="FW24" s="930">
        <f t="shared" si="31"/>
        <v>1</v>
      </c>
      <c r="FX24" s="940">
        <v>60892.75</v>
      </c>
      <c r="FY24" s="876"/>
      <c r="FZ24" s="938">
        <f t="shared" si="32"/>
        <v>-883.16666666666424</v>
      </c>
      <c r="GA24" s="939"/>
    </row>
    <row r="25" spans="1:183" ht="13.5" thickBot="1">
      <c r="A25" s="906"/>
      <c r="B25" s="907"/>
      <c r="C25" s="876"/>
      <c r="D25" s="928"/>
      <c r="E25" s="928"/>
      <c r="F25" s="67"/>
      <c r="G25" s="106"/>
      <c r="H25" s="876"/>
      <c r="I25" s="93"/>
      <c r="J25" s="929"/>
      <c r="K25" s="930"/>
      <c r="L25" s="930"/>
      <c r="M25" s="912"/>
      <c r="N25" s="876"/>
      <c r="O25" s="931"/>
      <c r="P25" s="918"/>
      <c r="Q25" s="909"/>
      <c r="R25" s="910"/>
      <c r="S25" s="876"/>
      <c r="T25" s="876"/>
      <c r="U25" s="876"/>
      <c r="V25" s="9"/>
      <c r="W25" s="106"/>
      <c r="X25" s="876"/>
      <c r="Y25" s="93"/>
      <c r="Z25" s="929"/>
      <c r="AA25" s="930"/>
      <c r="AB25" s="930"/>
      <c r="AC25" s="876"/>
      <c r="AD25" s="876"/>
      <c r="AE25" s="931"/>
      <c r="AF25" s="918"/>
      <c r="AG25" s="911"/>
      <c r="AH25" s="912"/>
      <c r="AI25" s="876"/>
      <c r="AJ25" s="933"/>
      <c r="AK25" s="933"/>
      <c r="AL25" s="12"/>
      <c r="AM25" s="106"/>
      <c r="AN25" s="876"/>
      <c r="AO25" s="93"/>
      <c r="AP25" s="934"/>
      <c r="AQ25" s="930"/>
      <c r="AR25" s="930"/>
      <c r="AS25" s="876"/>
      <c r="AT25" s="876"/>
      <c r="AU25" s="931"/>
      <c r="AV25" s="918"/>
      <c r="AW25" s="913"/>
      <c r="AX25" s="910"/>
      <c r="AY25" s="876"/>
      <c r="AZ25" s="933"/>
      <c r="BA25" s="933"/>
      <c r="BB25" s="12"/>
      <c r="BC25" s="106"/>
      <c r="BD25" s="876"/>
      <c r="BE25" s="93"/>
      <c r="BF25" s="930"/>
      <c r="BG25" s="930"/>
      <c r="BH25" s="912"/>
      <c r="BI25" s="876"/>
      <c r="BJ25" s="935"/>
      <c r="BK25" s="918"/>
      <c r="BL25" s="914"/>
      <c r="BM25" s="948">
        <v>16</v>
      </c>
      <c r="BN25" s="876"/>
      <c r="BO25" s="876"/>
      <c r="BP25" s="933"/>
      <c r="BQ25" s="12"/>
      <c r="BR25" s="106"/>
      <c r="BS25" s="430"/>
      <c r="BT25" s="93"/>
      <c r="BU25" s="930"/>
      <c r="BV25" s="930"/>
      <c r="BW25" s="936"/>
      <c r="BX25" s="430"/>
      <c r="BY25" s="917"/>
      <c r="BZ25" s="918"/>
      <c r="CA25" s="915"/>
      <c r="CB25" s="912"/>
      <c r="CC25" s="876"/>
      <c r="CD25" s="876"/>
      <c r="CE25" s="933"/>
      <c r="CF25" s="12"/>
      <c r="CG25" s="106"/>
      <c r="CH25" s="430"/>
      <c r="CI25" s="93"/>
      <c r="CJ25" s="930"/>
      <c r="CK25" s="930"/>
      <c r="CL25" s="430"/>
      <c r="CM25" s="430"/>
      <c r="CN25" s="917"/>
      <c r="CO25" s="918"/>
      <c r="CP25" s="919"/>
      <c r="CQ25" s="912"/>
      <c r="CR25" s="876"/>
      <c r="CS25" s="876"/>
      <c r="CT25" s="933"/>
      <c r="CU25" s="12"/>
      <c r="CV25" s="106"/>
      <c r="CW25" s="430"/>
      <c r="CX25" s="93"/>
      <c r="CY25" s="930"/>
      <c r="CZ25" s="930"/>
      <c r="DA25" s="936"/>
      <c r="DB25" s="430"/>
      <c r="DC25" s="938"/>
      <c r="DD25" s="939"/>
      <c r="DE25" s="920"/>
      <c r="DF25" s="912"/>
      <c r="DG25" s="876"/>
      <c r="DH25" s="933"/>
      <c r="DI25" s="933"/>
      <c r="DJ25" s="12"/>
      <c r="DK25" s="106"/>
      <c r="DL25" s="876"/>
      <c r="DM25" s="93"/>
      <c r="DN25" s="930"/>
      <c r="DO25" s="930"/>
      <c r="DP25" s="940"/>
      <c r="DQ25" s="876"/>
      <c r="DR25" s="938"/>
      <c r="DS25" s="939"/>
      <c r="DT25" s="921"/>
      <c r="DU25" s="912"/>
      <c r="DV25" s="876"/>
      <c r="DW25" s="933"/>
      <c r="DX25" s="933"/>
      <c r="DY25" s="12"/>
      <c r="DZ25" s="106"/>
      <c r="EA25" s="430"/>
      <c r="EB25" s="93"/>
      <c r="EC25" s="930"/>
      <c r="ED25" s="930"/>
      <c r="EE25" s="936"/>
      <c r="EF25" s="430"/>
      <c r="EG25" s="938"/>
      <c r="EH25" s="939"/>
      <c r="EI25" s="941"/>
      <c r="EJ25" s="912"/>
      <c r="EK25" s="876"/>
      <c r="EL25" s="933"/>
      <c r="EM25" s="933"/>
      <c r="EN25" s="12"/>
      <c r="EO25" s="106"/>
      <c r="EP25" s="430"/>
      <c r="EQ25" s="93"/>
      <c r="ER25" s="930"/>
      <c r="ES25" s="930"/>
      <c r="ET25" s="430"/>
      <c r="EU25" s="430"/>
      <c r="EV25" s="938"/>
      <c r="EW25" s="939"/>
      <c r="EX25" s="925"/>
      <c r="EY25" s="912"/>
      <c r="EZ25" s="876"/>
      <c r="FA25" s="876"/>
      <c r="FB25" s="933"/>
      <c r="FC25" s="12"/>
      <c r="FD25" s="106"/>
      <c r="FE25" s="430"/>
      <c r="FF25" s="93"/>
      <c r="FG25" s="930"/>
      <c r="FH25" s="930"/>
      <c r="FI25" s="936"/>
      <c r="FJ25" s="430"/>
      <c r="FK25" s="938"/>
      <c r="FL25" s="939"/>
      <c r="FM25" s="927"/>
      <c r="FN25" s="910"/>
      <c r="FO25" s="876"/>
      <c r="FP25" s="876"/>
      <c r="FQ25" s="933"/>
      <c r="FR25" s="12"/>
      <c r="FS25" s="106"/>
      <c r="FT25" s="876"/>
      <c r="FU25" s="93"/>
      <c r="FV25" s="930"/>
      <c r="FW25" s="930"/>
      <c r="FX25" s="940"/>
      <c r="FY25" s="876"/>
      <c r="FZ25" s="938"/>
      <c r="GA25" s="939"/>
    </row>
    <row r="26" spans="1:183" ht="13.5" thickBot="1">
      <c r="A26" s="949"/>
      <c r="B26" s="950">
        <v>16</v>
      </c>
      <c r="C26" s="14" t="s">
        <v>57</v>
      </c>
      <c r="D26" s="15">
        <f>SUM(D6:D7,D10:D11,D14:D15,D18:D19,D22:D24)</f>
        <v>577924.65000000014</v>
      </c>
      <c r="E26" s="15">
        <f>SUM(E6:E7,E10:E11,E14:E15,E18:E19,E22:E24)</f>
        <v>2991.4666666666662</v>
      </c>
      <c r="F26" s="15">
        <f>SUM(F6:F7,F10:F11,F14:F15,F18:F19,F22:F24)</f>
        <v>1531.2166666666665</v>
      </c>
      <c r="G26" s="15">
        <f>SUM(G6:G7,G10:G11,G14:G15,G18:G19,G22:G24)</f>
        <v>4956</v>
      </c>
      <c r="H26" s="948"/>
      <c r="I26" s="16">
        <f>SUM(I6:I7,I10:I11,I14:I15,I18:I19,I22:I24)</f>
        <v>577491.33333333337</v>
      </c>
      <c r="J26" s="951">
        <f>SUM(J6:J7,J10:J11,J14:J15,J18:J19,J22:J24)</f>
        <v>551131</v>
      </c>
      <c r="K26" s="32">
        <f>(G26-H26)/(D26+E26+F26)</f>
        <v>8.5089238397520334E-3</v>
      </c>
      <c r="L26" s="32">
        <f>1-((G26-H26)/(D26+E26+F26))</f>
        <v>0.99149107616024801</v>
      </c>
      <c r="M26" s="17">
        <f>SUM(M6:M7,M10:M11,M14:M15,M18:M19,M22:M24)</f>
        <v>582991</v>
      </c>
      <c r="N26" s="14">
        <f>SUM(N21,N17,N13,N9,N5)</f>
        <v>4664</v>
      </c>
      <c r="O26" s="18">
        <f t="shared" si="0"/>
        <v>5499.6666666666279</v>
      </c>
      <c r="P26" s="19">
        <f>M26+N26-I26</f>
        <v>10163.666666666628</v>
      </c>
      <c r="Q26" s="952"/>
      <c r="R26" s="953">
        <v>16</v>
      </c>
      <c r="S26" s="14" t="s">
        <v>57</v>
      </c>
      <c r="T26" s="31">
        <f>SUM(T22:T24,T6:T7,T10:T11,T14:T15,T18:T19)</f>
        <v>580848.98333333328</v>
      </c>
      <c r="U26" s="31">
        <f>SUM(U22:U24,U6:U7,U10:U11,U14:U15,U18:U19)</f>
        <v>2536.6999999999994</v>
      </c>
      <c r="V26" s="31">
        <f>SUM(V22:V24,V6:V7,V10:V11,V14:V15,V18:V19)</f>
        <v>1642.4</v>
      </c>
      <c r="W26" s="31">
        <f>SUM(W22:W24,W6:W7,W10:W11,W14:W15,W18:W19)</f>
        <v>5240</v>
      </c>
      <c r="X26" s="14">
        <f>SUM(X5:X24)</f>
        <v>0</v>
      </c>
      <c r="Y26" s="20">
        <f>SUM(Y22:Y24,Y6:Y7,Y10:Y11,Y14:Y15,Y18:Y19)</f>
        <v>579788.08333333326</v>
      </c>
      <c r="Z26" s="954">
        <f>SUM(Z22:Z24,Z6:Z7,Z10:Z11,Z14:Z15,Z18:Z19)</f>
        <v>582469</v>
      </c>
      <c r="AA26" s="32">
        <f t="shared" si="1"/>
        <v>8.9568349781499104E-3</v>
      </c>
      <c r="AB26" s="32">
        <f>1-((W26-X26)/(T26+U26+V26))</f>
        <v>0.99104316502185008</v>
      </c>
      <c r="AC26" s="31">
        <f>SUM(AC22:AC24,AC6:AC7,AC10:AC11,AC14:AC15,AC18:AC19)</f>
        <v>585852</v>
      </c>
      <c r="AD26" s="14">
        <f>SUM(AD21,AD17,AD13,AD9,AD5)</f>
        <v>4664</v>
      </c>
      <c r="AE26" s="18">
        <f t="shared" si="2"/>
        <v>6063.9166666667443</v>
      </c>
      <c r="AF26" s="19">
        <f>AC26+AD26-Y26</f>
        <v>10727.916666666744</v>
      </c>
      <c r="AG26" s="955"/>
      <c r="AH26" s="948">
        <v>16</v>
      </c>
      <c r="AI26" s="14" t="s">
        <v>57</v>
      </c>
      <c r="AJ26" s="31">
        <f>SUM(AJ22:AJ24,AJ6:AJ7,AJ10:AJ11,AJ14:AJ15,AJ18:AJ19)</f>
        <v>548441.4</v>
      </c>
      <c r="AK26" s="31">
        <f>SUM(AK22:AK24,AK6:AK7,AK10:AK11,AK14:AK15,AK18:AK19)</f>
        <v>1774.4166666666661</v>
      </c>
      <c r="AL26" s="31">
        <f>SUM(AL22:AL24,AL6:AL7,AL10:AL11,AL14:AL15,AL18:AL19)</f>
        <v>881</v>
      </c>
      <c r="AM26" s="31">
        <f>SUM(AM22:AM24,AM6:AM7,AM10:AM11,AM14:AM15,AM18:AM19)</f>
        <v>5218</v>
      </c>
      <c r="AN26" s="14">
        <f>SUM(AN5:AN24)</f>
        <v>0</v>
      </c>
      <c r="AO26" s="20">
        <f>SUM(AO22:AO24,AO6:AO7,AO10:AO11,AO14:AO15,AO18:AO19)</f>
        <v>545878.81666666665</v>
      </c>
      <c r="AP26" s="68">
        <f>SUM(AP22:AP24,AP6:AP7,AP10:AP11,AP14:AP15,AP18:AP19)</f>
        <v>0</v>
      </c>
      <c r="AQ26" s="32">
        <f t="shared" si="3"/>
        <v>9.4683907476753402E-3</v>
      </c>
      <c r="AR26" s="32">
        <f t="shared" si="4"/>
        <v>0.99053160925232464</v>
      </c>
      <c r="AS26" s="31">
        <f>SUM(AS22:AS24,AS6:AS7,AS10:AS11,AS14:AS15,AS18:AS19)</f>
        <v>551681</v>
      </c>
      <c r="AT26" s="14">
        <f>SUM(AT5,AT9,AT13,AT17,AT21)</f>
        <v>4664</v>
      </c>
      <c r="AU26" s="18">
        <f t="shared" si="5"/>
        <v>5802.1833333333489</v>
      </c>
      <c r="AV26" s="19">
        <f>AS26+AT26-AO26</f>
        <v>10466.183333333349</v>
      </c>
      <c r="AW26" s="956"/>
      <c r="AX26" s="953">
        <v>16</v>
      </c>
      <c r="AY26" s="948" t="s">
        <v>57</v>
      </c>
      <c r="AZ26" s="957">
        <f>SUM(AZ6:AZ7,AZ10:AZ11,AZ14:AZ15,AZ18:AZ19,AZ22:AZ24)</f>
        <v>589444.31666666665</v>
      </c>
      <c r="BA26" s="31">
        <f>SUM(BA22:BA24,BA6:BA7,BA10:BA11,BA14:BA15,BA18:BA19)</f>
        <v>777.28333333333364</v>
      </c>
      <c r="BB26" s="31">
        <f>SUM(BB22:BB24,BB6:BB7,BB10:BB11,BB14:BB15,BB18:BB19)</f>
        <v>657.7166666666667</v>
      </c>
      <c r="BC26" s="31">
        <f>SUM(BC22:BC24,BC6:BC7,BC10:BC11,BC14:BC15,BC18:BC19)</f>
        <v>5178</v>
      </c>
      <c r="BD26" s="14">
        <f>SUM(BD5:BD24)</f>
        <v>0</v>
      </c>
      <c r="BE26" s="20">
        <f>SUM(BE22:BE24,BE6:BE7,BE10:BE11,BE14:BE15,BE18:BE19)</f>
        <v>585701.31666666665</v>
      </c>
      <c r="BF26" s="32">
        <f t="shared" si="6"/>
        <v>8.7632107842439012E-3</v>
      </c>
      <c r="BG26" s="32">
        <f t="shared" si="7"/>
        <v>0.99123678921575609</v>
      </c>
      <c r="BH26" s="31">
        <f>SUM(BH22:BH24,BH6:BH7,BH10:BH11,BH14:BH15,BH18:BH19)</f>
        <v>592123</v>
      </c>
      <c r="BI26" s="14">
        <f>SUM(BI5,BI9,BI13,BI17,BI21)</f>
        <v>4664</v>
      </c>
      <c r="BJ26" s="51">
        <f t="shared" si="8"/>
        <v>6421.6833333333489</v>
      </c>
      <c r="BK26" s="30">
        <f>BH26+BI26-BE26</f>
        <v>11085.683333333349</v>
      </c>
      <c r="BL26" s="958"/>
      <c r="BM26" s="959"/>
      <c r="BN26" s="14" t="s">
        <v>57</v>
      </c>
      <c r="BO26" s="26">
        <f>SUM(BO6:BO7,BO10:BO11,BO14:BO15,BO18:BO19,BO22:BO24)</f>
        <v>551273.93333333335</v>
      </c>
      <c r="BP26" s="31">
        <f>SUM(BP22:BP24,BP6:BP7,BP10:BP11,BP14:BP15,BP18:BP19)</f>
        <v>0</v>
      </c>
      <c r="BQ26" s="31">
        <f>SUM(BQ22:BQ24,BQ6:BQ7,BQ10:BQ11,BQ14:BQ15,BQ18:BQ19)</f>
        <v>0</v>
      </c>
      <c r="BR26" s="31">
        <f>SUM(BR22:BR24,BR6:BR7,BR10:BR11,BR14:BR15,BR18:BR19)</f>
        <v>0</v>
      </c>
      <c r="BS26" s="948">
        <f>SUM(BS5:BS24)</f>
        <v>0</v>
      </c>
      <c r="BT26" s="20">
        <f>SUM(BT22:BT24,BT6:BT7,BT10:BT11,BT14:BT15,BT18:BT19)</f>
        <v>551273.93333333335</v>
      </c>
      <c r="BU26" s="32">
        <f t="shared" si="9"/>
        <v>0</v>
      </c>
      <c r="BV26" s="32">
        <f t="shared" si="10"/>
        <v>1</v>
      </c>
      <c r="BW26" s="26">
        <f>SUM(BW6:BW7,BW10:BW11,BW14:BW15,BW18:BW19,BW22:BW24)</f>
        <v>553976.85333333339</v>
      </c>
      <c r="BX26" s="14">
        <f>SUM(BX5,BX9,BX13,BX17,BX21)</f>
        <v>4664</v>
      </c>
      <c r="BY26" s="52">
        <f t="shared" si="11"/>
        <v>2702.9200000000419</v>
      </c>
      <c r="BZ26" s="960">
        <f>BW26+BX26-BT26</f>
        <v>7366.9200000000419</v>
      </c>
      <c r="CA26" s="961"/>
      <c r="CB26" s="948">
        <v>16</v>
      </c>
      <c r="CC26" s="948" t="s">
        <v>57</v>
      </c>
      <c r="CD26" s="26">
        <f>SUM(CD6:CD7,CD10:CD11,CD14:CD15,CD18:CD19,CD22:CD24)</f>
        <v>569305.15</v>
      </c>
      <c r="CE26" s="31">
        <f>SUM(CE22:CE24,CE6:CE7,CE10:CE11,CE14:CE15,CE18:CE19)</f>
        <v>0</v>
      </c>
      <c r="CF26" s="31">
        <f>SUM(CF22:CF24,CF6:CF7,CF10:CF11,CF14:CF15,CF18:CF19)</f>
        <v>0</v>
      </c>
      <c r="CG26" s="31">
        <f>SUM(CG22:CG24,CG6:CG7,CG10:CG11,CG14:CG15,CG18:CG19)</f>
        <v>0</v>
      </c>
      <c r="CH26" s="948">
        <f>SUM(CG6:CG24)</f>
        <v>0</v>
      </c>
      <c r="CI26" s="92">
        <f>SUM(CI22:CI24,CI6:CI7,CI10:CI11,CI14:CI15,CI18:CI19)</f>
        <v>569305.14999999991</v>
      </c>
      <c r="CJ26" s="32">
        <f t="shared" si="12"/>
        <v>0</v>
      </c>
      <c r="CK26" s="32">
        <f t="shared" si="13"/>
        <v>1</v>
      </c>
      <c r="CL26" s="26">
        <f>SUM(CL22:CL24,CL6:CL7,CL10:CL11,CL14:CL15,CL18:CL19)</f>
        <v>572323.85</v>
      </c>
      <c r="CM26" s="14">
        <f>SUM(CM5,CM9,CM13,CM17,CM21)</f>
        <v>4664</v>
      </c>
      <c r="CN26" s="962">
        <f t="shared" si="14"/>
        <v>3018.7000000000698</v>
      </c>
      <c r="CO26" s="19">
        <f>CL26+CM26-CI26</f>
        <v>7682.7000000000698</v>
      </c>
      <c r="CP26" s="963"/>
      <c r="CQ26" s="948">
        <v>16</v>
      </c>
      <c r="CR26" s="948" t="s">
        <v>57</v>
      </c>
      <c r="CS26" s="26">
        <f>SUM(CS6:CS7,CS10:CS11,CS14:CS15,CS18:CS19,CS22:CS24)</f>
        <v>579066.60000000009</v>
      </c>
      <c r="CT26" s="31">
        <f>SUM(CT22:CT24,CT6:CT7,CT10:CT11,CT14:CT15,CT18:CT19)</f>
        <v>0</v>
      </c>
      <c r="CU26" s="31">
        <f>SUM(CU22:CU24,CU6:CU7,CU10:CU11,CU14:CU15,CU18:CU19)</f>
        <v>0</v>
      </c>
      <c r="CV26" s="31">
        <f>SUM(CV22:CV24,CV6:CV7,CV10:CV11,CV14:CV15,CV18:CV19)</f>
        <v>0</v>
      </c>
      <c r="CW26" s="948">
        <f>SUM(CV6:CV24)</f>
        <v>0</v>
      </c>
      <c r="CX26" s="112">
        <f>SUM(CX22:CX24,CX6:CX7,CX10:CX11,CX14:CX15,CX18:CX19)</f>
        <v>579066.6</v>
      </c>
      <c r="CY26" s="32">
        <f t="shared" si="15"/>
        <v>0</v>
      </c>
      <c r="CZ26" s="32">
        <f t="shared" si="16"/>
        <v>1</v>
      </c>
      <c r="DA26" s="26">
        <f>SUM(DA22:DA24,DA6:DA7,DA10:DA11,DA14:DA15,DA18:DA19)</f>
        <v>582180.03333333333</v>
      </c>
      <c r="DB26" s="14">
        <f>SUM(DB5,DB9,DB13,DB17,DB21)</f>
        <v>4664</v>
      </c>
      <c r="DC26" s="53">
        <f t="shared" si="17"/>
        <v>3113.4333333333489</v>
      </c>
      <c r="DD26" s="19">
        <f>DA26+DB26-CX26</f>
        <v>7777.4333333333489</v>
      </c>
      <c r="DE26" s="964"/>
      <c r="DF26" s="948">
        <v>16</v>
      </c>
      <c r="DG26" s="948" t="s">
        <v>57</v>
      </c>
      <c r="DH26" s="26">
        <f>SUM(DH6:DH7,DH10:DH11,DH14:DH15,DH18:DH19,DH22:DH24)</f>
        <v>525762.93333333335</v>
      </c>
      <c r="DI26" s="31">
        <f>SUM(DI22:DI24,DI6:DI7,DI10:DI11,DI14:DI15,DI18:DI19)</f>
        <v>0</v>
      </c>
      <c r="DJ26" s="31">
        <f>SUM(DJ22:DJ24,DJ6:DJ7,DJ10:DJ11,DJ14:DJ15,DJ18:DJ19)</f>
        <v>0</v>
      </c>
      <c r="DK26" s="31">
        <f>SUM(DK22:DK24,DK6:DK7,DK10:DK11,DK14:DK15,DK18:DK19)</f>
        <v>0</v>
      </c>
      <c r="DL26" s="948">
        <f>SUM(DK6:DK24)</f>
        <v>0</v>
      </c>
      <c r="DM26" s="92">
        <f>SUM(DM22:DM24,DM6:DM7,DM10:DM11,DM14:DM15,DM18:DM19)</f>
        <v>525762.93333333335</v>
      </c>
      <c r="DN26" s="32">
        <f t="shared" si="18"/>
        <v>0</v>
      </c>
      <c r="DO26" s="32">
        <f t="shared" si="19"/>
        <v>1</v>
      </c>
      <c r="DP26" s="26">
        <f>SUM(DP22:DP24,DP6:DP7,DP10:DP11,DP14:DP15,DP18:DP19)</f>
        <v>539609.66666666674</v>
      </c>
      <c r="DQ26" s="14">
        <f>SUM(DQ5,DQ9,DQ13,DQ17,DQ21)</f>
        <v>4664</v>
      </c>
      <c r="DR26" s="53">
        <f t="shared" si="20"/>
        <v>13846.733333333395</v>
      </c>
      <c r="DS26" s="19">
        <f>DP26+DQ26-DM26</f>
        <v>18510.733333333395</v>
      </c>
      <c r="DT26" s="965"/>
      <c r="DU26" s="948">
        <v>16</v>
      </c>
      <c r="DV26" s="14" t="s">
        <v>57</v>
      </c>
      <c r="DW26" s="26">
        <f>SUM(DW6:DW7,DW10:DW11,DW14:DW15,DW18:DW19,DW22:DW24)</f>
        <v>572304.53333333344</v>
      </c>
      <c r="DX26" s="31">
        <f>SUM(DX22:DX24,DX6:DX7,DX10:DX11,DX14:DX15,DX18:DX19)</f>
        <v>0</v>
      </c>
      <c r="DY26" s="31">
        <f>SUM(DY22:DY24,DY6:DY7,DY10:DY11,DY14:DY15,DY18:DY19)</f>
        <v>0</v>
      </c>
      <c r="DZ26" s="31">
        <f>SUM(DZ22:DZ24,DZ6:DZ7,DZ10:DZ11,DZ14:DZ15,DZ18:DZ19)</f>
        <v>0</v>
      </c>
      <c r="EA26" s="948">
        <f>SUM(DZ6:DZ24)</f>
        <v>0</v>
      </c>
      <c r="EB26" s="92">
        <f>SUM(EB22:EB24,EB6:EB7,EB10:EB11,EB14:EB15,EB18:EB19)</f>
        <v>572304.53333333344</v>
      </c>
      <c r="EC26" s="32">
        <f t="shared" si="21"/>
        <v>0</v>
      </c>
      <c r="ED26" s="32">
        <f t="shared" si="22"/>
        <v>1</v>
      </c>
      <c r="EE26" s="26">
        <f>SUM(EE22:EE24,EE6:EE7,EE10:EE11,EE14:EE15,EE18:EE19)</f>
        <v>563834.85</v>
      </c>
      <c r="EF26" s="14">
        <f>SUM(EF5,EF9,EF13,EF17,EF21)</f>
        <v>4664</v>
      </c>
      <c r="EG26" s="53">
        <f t="shared" si="23"/>
        <v>-8469.6833333334653</v>
      </c>
      <c r="EH26" s="19">
        <f>EE26+EF26-EB26</f>
        <v>-3805.6833333334653</v>
      </c>
      <c r="EI26" s="966"/>
      <c r="EJ26" s="948">
        <v>16</v>
      </c>
      <c r="EK26" s="14" t="s">
        <v>57</v>
      </c>
      <c r="EL26" s="26">
        <f>SUM(EL6:EL7,EL10:EL11,EL14:EL15,EL18:EL19,EL22:EL24)</f>
        <v>567876.35000000009</v>
      </c>
      <c r="EM26" s="31">
        <f>SUM(EM22:EM24,EM6:EM7,EM10:EM11,EM14:EM15,EM18:EM19)</f>
        <v>0</v>
      </c>
      <c r="EN26" s="31">
        <f>SUM(EN22:EN24,EN6:EN7,EN10:EN11,EN14:EN15,EN18:EN19)</f>
        <v>0</v>
      </c>
      <c r="EO26" s="31">
        <f>SUM(EO22:EO24,EO6:EO7,EO10:EO11,EO14:EO15,EO18:EO19)</f>
        <v>0</v>
      </c>
      <c r="EP26" s="948">
        <f>SUM(EO6:EO24)</f>
        <v>0</v>
      </c>
      <c r="EQ26" s="92">
        <f>SUM(EQ22:EQ24,EQ6:EQ7,EQ10:EQ11,EQ14:EQ15,EQ18:EQ19)</f>
        <v>567876.35</v>
      </c>
      <c r="ER26" s="32">
        <f t="shared" si="24"/>
        <v>0</v>
      </c>
      <c r="ES26" s="32">
        <f t="shared" si="25"/>
        <v>1</v>
      </c>
      <c r="ET26" s="26">
        <f>SUM(ET22:ET24,ET6:ET7,ET10:ET11,ET14:ET15,ET18:ET19)</f>
        <v>570921.03333333333</v>
      </c>
      <c r="EU26" s="14">
        <f>SUM(EU5,EU9,EU13,EU17,EU21)</f>
        <v>4664</v>
      </c>
      <c r="EV26" s="53">
        <f t="shared" si="26"/>
        <v>3044.6833333333489</v>
      </c>
      <c r="EW26" s="19">
        <f>ET26+EU26-EQ26</f>
        <v>7708.6833333333489</v>
      </c>
      <c r="EX26" s="967"/>
      <c r="EY26" s="948">
        <v>16</v>
      </c>
      <c r="EZ26" s="14" t="s">
        <v>57</v>
      </c>
      <c r="FA26" s="26">
        <f>SUM(FA6:FA7,FA10:FA11,FA14:FA15,FA18:FA19,FA22:FA24)</f>
        <v>572694.2333333334</v>
      </c>
      <c r="FB26" s="31">
        <f>SUM(FB22:FB24,FB6:FB7,FB10:FB11,FB14:FB15,FB18:FB19)</f>
        <v>0</v>
      </c>
      <c r="FC26" s="31">
        <f>SUM(FC22:FC24,FC6:FC7,FC10:FC11,FC14:FC15,FC18:FC19)</f>
        <v>0</v>
      </c>
      <c r="FD26" s="31">
        <f>SUM(FD22:FD24,FD6:FD7,FD10:FD11,FD14:FD15,FD18:FD19)</f>
        <v>0</v>
      </c>
      <c r="FE26" s="948">
        <f>SUM(FD6:FD24)</f>
        <v>0</v>
      </c>
      <c r="FF26" s="92">
        <f>SUM(FF22:FF24,FF6:FF7,FF10:FF11,FF14:FF15,FF18:FF19)</f>
        <v>572694.23333333328</v>
      </c>
      <c r="FG26" s="32">
        <f t="shared" si="27"/>
        <v>0</v>
      </c>
      <c r="FH26" s="32">
        <f t="shared" si="28"/>
        <v>1</v>
      </c>
      <c r="FI26" s="26">
        <f>SUM(FI22:FI24,FI6:FI7,FI10:FI11,FI14:FI15,FI18:FI19)</f>
        <v>586605.85</v>
      </c>
      <c r="FJ26" s="14">
        <f>SUM(FJ5,FJ9,FJ13,FJ17,FJ21)</f>
        <v>4664</v>
      </c>
      <c r="FK26" s="53">
        <f t="shared" si="29"/>
        <v>13911.616666666698</v>
      </c>
      <c r="FL26" s="19">
        <f>FI26+FJ26-FF26</f>
        <v>18575.616666666698</v>
      </c>
      <c r="FM26" s="968"/>
      <c r="FN26" s="953">
        <v>16</v>
      </c>
      <c r="FO26" s="948" t="s">
        <v>57</v>
      </c>
      <c r="FP26" s="26">
        <f>SUM(FP6:FP7,FP10:FP11,FP14:FP15,FP18:FP19,FP22:FP24)</f>
        <v>558042.28333333333</v>
      </c>
      <c r="FQ26" s="31">
        <f>SUM(FQ22:FQ24,FQ6:FQ7,FQ10:FQ11,FQ14:FQ15,FQ18:FQ19)</f>
        <v>0</v>
      </c>
      <c r="FR26" s="31">
        <f>SUM(FR22:FR24,FR6:FR7,FR10:FR11,FR14:FR15,FR18:FR19)</f>
        <v>0</v>
      </c>
      <c r="FS26" s="31">
        <f>SUM(FS22:FS24,FS6:FS7,FS10:FS11,FS14:FS15,FS18:FS19)</f>
        <v>0</v>
      </c>
      <c r="FT26" s="948">
        <f>SUM(FS6:FS24)</f>
        <v>0</v>
      </c>
      <c r="FU26" s="92">
        <f>SUM(FU22:FU24,FU6:FU7,FU10:FU11,FU14:FU15,FU18:FU19)</f>
        <v>558042.28333333333</v>
      </c>
      <c r="FV26" s="32">
        <f t="shared" si="30"/>
        <v>0</v>
      </c>
      <c r="FW26" s="32">
        <f t="shared" si="31"/>
        <v>1</v>
      </c>
      <c r="FX26" s="26">
        <f>SUM(FX22:FX24,FX6:FX7,FX10:FX11,FX14:FX15,FX18:FX19)</f>
        <v>549633.821</v>
      </c>
      <c r="FY26" s="14">
        <f>SUM(FY5,FY9,FY13,FY17,FY21)</f>
        <v>4664</v>
      </c>
      <c r="FZ26" s="53">
        <f t="shared" si="32"/>
        <v>-8408.4623333333293</v>
      </c>
      <c r="GA26" s="19">
        <f>FX26+FY26-FU26</f>
        <v>-3744.4623333333293</v>
      </c>
    </row>
    <row r="27" spans="1:183" ht="13.5" thickBot="1">
      <c r="A27" s="969"/>
      <c r="B27" s="970"/>
      <c r="C27" s="971"/>
      <c r="D27" s="971"/>
      <c r="E27" s="971"/>
      <c r="F27" s="971"/>
      <c r="G27" s="972"/>
      <c r="H27" s="971"/>
      <c r="I27" s="971"/>
      <c r="J27" s="971"/>
      <c r="K27" s="971"/>
      <c r="L27" s="971"/>
      <c r="M27" s="971"/>
      <c r="N27" s="971"/>
      <c r="O27" s="971"/>
      <c r="P27" s="973"/>
      <c r="Q27" s="430"/>
      <c r="R27" s="876"/>
      <c r="S27" s="430"/>
      <c r="T27" s="430"/>
      <c r="U27" s="430"/>
      <c r="V27" s="430"/>
      <c r="W27" s="974"/>
      <c r="X27" s="876"/>
      <c r="Y27" s="430"/>
      <c r="Z27" s="430"/>
      <c r="AA27" s="430"/>
      <c r="AB27" s="430"/>
      <c r="AC27" s="430"/>
      <c r="AD27" s="876"/>
      <c r="AE27" s="430"/>
      <c r="AF27" s="430"/>
      <c r="AG27" s="430"/>
      <c r="AH27" s="430"/>
      <c r="AI27" s="430"/>
      <c r="AJ27" s="876"/>
      <c r="AK27" s="430"/>
      <c r="AL27" s="49"/>
      <c r="AM27" s="974"/>
      <c r="AN27" s="430"/>
      <c r="AO27" s="430"/>
      <c r="AP27" s="876"/>
      <c r="AQ27" s="430"/>
      <c r="AR27" s="430"/>
      <c r="AS27" s="430"/>
      <c r="AT27" s="430"/>
      <c r="AU27" s="430"/>
      <c r="AV27" s="876"/>
      <c r="AW27" s="430"/>
      <c r="AX27" s="430"/>
      <c r="AY27" s="430"/>
      <c r="AZ27" s="430"/>
      <c r="BA27" s="430"/>
      <c r="BB27" s="876"/>
      <c r="BC27" s="974"/>
      <c r="BD27" s="430"/>
      <c r="BE27" s="430"/>
      <c r="BF27" s="430"/>
      <c r="BG27" s="430"/>
      <c r="BH27" s="876"/>
      <c r="BI27" s="430"/>
      <c r="BJ27" s="430"/>
      <c r="BK27" s="430"/>
      <c r="BL27" s="430"/>
      <c r="BM27" s="430"/>
      <c r="BN27" s="876"/>
      <c r="BO27" s="430"/>
      <c r="BP27" s="430"/>
      <c r="BQ27" s="430"/>
      <c r="BR27" s="430"/>
      <c r="BS27" s="430"/>
      <c r="BT27" s="876"/>
      <c r="BU27" s="430"/>
      <c r="BV27" s="430"/>
      <c r="BW27" s="430"/>
      <c r="BX27" s="430"/>
      <c r="BY27" s="975"/>
      <c r="BZ27" s="876"/>
      <c r="CA27" s="430"/>
      <c r="CB27" s="430"/>
      <c r="CC27" s="430"/>
      <c r="CD27" s="430"/>
      <c r="CE27" s="430"/>
      <c r="CF27" s="876"/>
      <c r="CG27" s="876"/>
      <c r="CH27" s="876"/>
      <c r="CI27" s="430"/>
      <c r="CJ27" s="430"/>
      <c r="CK27" s="430"/>
      <c r="CL27" s="430"/>
      <c r="CM27" s="430"/>
      <c r="CN27" s="876"/>
      <c r="CO27" s="430"/>
      <c r="CP27" s="430"/>
      <c r="CQ27" s="430"/>
      <c r="CR27" s="430"/>
      <c r="CS27" s="430"/>
      <c r="CT27" s="876"/>
      <c r="CU27" s="430"/>
      <c r="CV27" s="430"/>
      <c r="CW27" s="430"/>
      <c r="CX27" s="430"/>
      <c r="CY27" s="430"/>
      <c r="CZ27" s="876"/>
      <c r="DA27" s="430"/>
      <c r="DB27" s="430"/>
      <c r="DC27" s="430"/>
      <c r="DD27" s="430"/>
      <c r="DE27" s="430"/>
      <c r="DF27" s="430"/>
      <c r="DG27" s="430"/>
      <c r="DH27" s="430"/>
      <c r="DI27" s="430"/>
      <c r="DJ27" s="430"/>
      <c r="DK27" s="430"/>
      <c r="DL27" s="430"/>
      <c r="DM27" s="430"/>
      <c r="DN27" s="430"/>
      <c r="DO27" s="430"/>
      <c r="DP27" s="430"/>
      <c r="DQ27" s="430"/>
      <c r="DR27" s="430"/>
      <c r="DS27" s="430"/>
      <c r="DT27" s="430"/>
      <c r="DU27" s="430"/>
      <c r="DV27" s="430"/>
      <c r="DW27" s="430"/>
      <c r="DX27" s="430"/>
      <c r="DY27" s="430"/>
      <c r="DZ27" s="430"/>
      <c r="EA27" s="430"/>
      <c r="EB27" s="430"/>
      <c r="EC27" s="430"/>
      <c r="ED27" s="430"/>
      <c r="EE27" s="430"/>
      <c r="EF27" s="430"/>
      <c r="EG27" s="430"/>
      <c r="EH27" s="430"/>
      <c r="EI27" s="430"/>
      <c r="EJ27" s="430"/>
      <c r="EK27" s="430"/>
      <c r="EL27" s="430"/>
      <c r="EM27" s="430"/>
      <c r="EN27" s="430"/>
      <c r="EO27" s="430"/>
      <c r="EP27" s="430"/>
      <c r="EQ27" s="430"/>
      <c r="ER27" s="430"/>
      <c r="ES27" s="430"/>
      <c r="ET27" s="430"/>
      <c r="EU27" s="430"/>
      <c r="EV27" s="430"/>
      <c r="EW27" s="430"/>
      <c r="EX27" s="430"/>
      <c r="EY27" s="430"/>
      <c r="EZ27" s="430"/>
      <c r="FA27" s="430"/>
      <c r="FB27" s="430"/>
      <c r="FC27" s="430"/>
      <c r="FD27" s="430"/>
      <c r="FE27" s="430"/>
      <c r="FF27" s="430"/>
      <c r="FG27" s="430"/>
      <c r="FH27" s="430"/>
      <c r="FI27" s="430"/>
      <c r="FJ27" s="430"/>
      <c r="FK27" s="430"/>
      <c r="FL27" s="430"/>
      <c r="FM27" s="430"/>
      <c r="FN27" s="430"/>
      <c r="FO27" s="430"/>
      <c r="FP27" s="430"/>
      <c r="FQ27" s="430"/>
      <c r="FR27" s="430"/>
      <c r="FS27" s="430"/>
      <c r="FT27" s="430"/>
      <c r="FU27" s="430"/>
      <c r="FV27" s="430"/>
      <c r="FW27" s="430"/>
      <c r="FX27" s="430"/>
      <c r="FY27" s="430"/>
      <c r="FZ27" s="430"/>
      <c r="GA27" s="430"/>
    </row>
    <row r="28" spans="1:183">
      <c r="A28" s="976"/>
      <c r="B28" s="970"/>
      <c r="C28" s="75" t="s">
        <v>58</v>
      </c>
      <c r="D28" s="971"/>
      <c r="E28" s="971"/>
      <c r="F28" s="971"/>
      <c r="G28" s="972"/>
      <c r="H28" s="971"/>
      <c r="I28" s="977"/>
      <c r="J28" s="971"/>
      <c r="K28" s="978"/>
      <c r="L28" s="971"/>
      <c r="M28" s="971"/>
      <c r="N28" s="979"/>
      <c r="O28" s="971"/>
      <c r="P28" s="980"/>
      <c r="Q28" s="430"/>
      <c r="R28" s="876"/>
      <c r="S28" s="430"/>
      <c r="T28" s="430"/>
      <c r="U28" s="430"/>
      <c r="V28" s="430"/>
      <c r="W28" s="974"/>
      <c r="X28" s="876"/>
      <c r="Y28" s="430"/>
      <c r="Z28" s="430"/>
      <c r="AA28" s="430"/>
      <c r="AB28" s="430"/>
      <c r="AC28" s="430"/>
      <c r="AD28" s="876"/>
      <c r="AE28" s="430"/>
      <c r="AF28" s="430"/>
      <c r="AG28" s="430"/>
      <c r="AH28" s="430"/>
      <c r="AI28" s="430"/>
      <c r="AJ28" s="876"/>
      <c r="AK28" s="430"/>
      <c r="AL28" s="49"/>
      <c r="AM28" s="974"/>
      <c r="AN28" s="430"/>
      <c r="AO28" s="430"/>
      <c r="AP28" s="876"/>
      <c r="AQ28" s="430"/>
      <c r="AR28" s="430"/>
      <c r="AS28" s="430"/>
      <c r="AT28" s="430"/>
      <c r="AU28" s="430"/>
      <c r="AV28" s="876"/>
      <c r="AW28" s="430"/>
      <c r="AX28" s="430"/>
      <c r="AY28" s="430"/>
      <c r="AZ28" s="430"/>
      <c r="BA28" s="430"/>
      <c r="BB28" s="876"/>
      <c r="BC28" s="974"/>
      <c r="BD28" s="430"/>
      <c r="BE28" s="430"/>
      <c r="BF28" s="430"/>
      <c r="BG28" s="430"/>
      <c r="BH28" s="876"/>
      <c r="BI28" s="430"/>
      <c r="BJ28" s="430"/>
      <c r="BK28" s="430"/>
      <c r="BL28" s="430"/>
      <c r="BM28" s="430"/>
      <c r="BN28" s="876"/>
      <c r="BO28" s="430"/>
      <c r="BP28" s="430"/>
      <c r="BQ28" s="430"/>
      <c r="BR28" s="430"/>
      <c r="BS28" s="430"/>
      <c r="BT28" s="876"/>
      <c r="BU28" s="430"/>
      <c r="BV28" s="430"/>
      <c r="BW28" s="430"/>
      <c r="BX28" s="430"/>
      <c r="BY28" s="975"/>
      <c r="BZ28" s="876"/>
      <c r="CA28" s="430"/>
      <c r="CB28" s="430"/>
      <c r="CC28" s="430"/>
      <c r="CD28" s="430"/>
      <c r="CE28" s="430"/>
      <c r="CF28" s="876"/>
      <c r="CG28" s="876"/>
      <c r="CH28" s="876"/>
      <c r="CI28" s="430"/>
      <c r="CJ28" s="430"/>
      <c r="CK28" s="430"/>
      <c r="CL28" s="430"/>
      <c r="CM28" s="430"/>
      <c r="CN28" s="876"/>
      <c r="CO28" s="430"/>
      <c r="CP28" s="430"/>
      <c r="CQ28" s="430"/>
      <c r="CR28" s="430"/>
      <c r="CS28" s="430"/>
      <c r="CT28" s="876"/>
      <c r="CU28" s="430"/>
      <c r="CV28" s="430"/>
      <c r="CW28" s="430"/>
      <c r="CX28" s="430"/>
      <c r="CY28" s="430"/>
      <c r="CZ28" s="876"/>
      <c r="DA28" s="430"/>
      <c r="DB28" s="430"/>
      <c r="DC28" s="430"/>
      <c r="DD28" s="430"/>
      <c r="DE28" s="430"/>
      <c r="DF28" s="430"/>
      <c r="DG28" s="430"/>
      <c r="DH28" s="430"/>
      <c r="DI28" s="430"/>
      <c r="DJ28" s="430"/>
      <c r="DK28" s="430"/>
      <c r="DL28" s="430"/>
      <c r="DM28" s="430"/>
      <c r="DN28" s="430"/>
      <c r="DO28" s="430"/>
      <c r="DP28" s="430"/>
      <c r="DQ28" s="430"/>
      <c r="DR28" s="430"/>
      <c r="DS28" s="430"/>
      <c r="DT28" s="430"/>
      <c r="DU28" s="430"/>
      <c r="DV28" s="430"/>
      <c r="DW28" s="430"/>
      <c r="DX28" s="430"/>
      <c r="DY28" s="430"/>
      <c r="DZ28" s="430"/>
      <c r="EA28" s="430"/>
      <c r="EB28" s="430"/>
      <c r="EC28" s="430"/>
      <c r="ED28" s="430"/>
      <c r="EE28" s="430"/>
      <c r="EF28" s="430"/>
      <c r="EG28" s="430"/>
      <c r="EH28" s="430"/>
      <c r="EI28" s="430"/>
      <c r="EJ28" s="430"/>
      <c r="EK28" s="430"/>
      <c r="EL28" s="430"/>
      <c r="EM28" s="430"/>
      <c r="EN28" s="430"/>
      <c r="EO28" s="430"/>
      <c r="EP28" s="430"/>
      <c r="EQ28" s="430"/>
      <c r="ER28" s="430"/>
      <c r="ES28" s="430"/>
      <c r="ET28" s="430"/>
      <c r="EU28" s="430"/>
      <c r="EV28" s="430"/>
      <c r="EW28" s="430"/>
      <c r="EX28" s="430"/>
      <c r="EY28" s="430"/>
      <c r="EZ28" s="430"/>
      <c r="FA28" s="430"/>
      <c r="FB28" s="430"/>
      <c r="FC28" s="430"/>
      <c r="FD28" s="430"/>
      <c r="FE28" s="430"/>
      <c r="FF28" s="430"/>
      <c r="FG28" s="430"/>
      <c r="FH28" s="430"/>
      <c r="FI28" s="430"/>
      <c r="FJ28" s="430"/>
      <c r="FK28" s="430"/>
      <c r="FL28" s="430"/>
      <c r="FM28" s="430"/>
      <c r="FN28" s="430"/>
      <c r="FO28" s="430"/>
      <c r="FP28" s="430"/>
      <c r="FQ28" s="430"/>
      <c r="FR28" s="430"/>
      <c r="FS28" s="430"/>
      <c r="FT28" s="430"/>
      <c r="FU28" s="430"/>
      <c r="FV28" s="430"/>
      <c r="FW28" s="430"/>
      <c r="FX28" s="430"/>
      <c r="FY28" s="430"/>
      <c r="FZ28" s="430"/>
      <c r="GA28" s="430"/>
    </row>
    <row r="29" spans="1:183">
      <c r="A29" s="981"/>
      <c r="B29" s="907"/>
      <c r="C29" s="912" t="s">
        <v>162</v>
      </c>
      <c r="D29" s="876">
        <v>27502</v>
      </c>
      <c r="E29" s="982">
        <v>-34</v>
      </c>
      <c r="F29" s="982"/>
      <c r="G29" s="983">
        <f>67.53+16.03</f>
        <v>83.56</v>
      </c>
      <c r="H29" s="876"/>
      <c r="I29" s="93">
        <f t="shared" ref="I29:I37" si="33">D29+E29+F29+H29-G29</f>
        <v>27384.44</v>
      </c>
      <c r="J29" s="876"/>
      <c r="K29" s="930">
        <f t="shared" ref="K29:K38" si="34">(G29-H29)/(D29+E29+F29)</f>
        <v>3.0420853356633174E-3</v>
      </c>
      <c r="L29" s="930">
        <f t="shared" ref="L29:L36" si="35">1-(G29/(D29+E29+F29))</f>
        <v>0.9969579146643367</v>
      </c>
      <c r="M29" s="876">
        <v>24501</v>
      </c>
      <c r="N29" s="984"/>
      <c r="O29" s="931">
        <f t="shared" ref="O29:O37" si="36">M29-I29</f>
        <v>-2883.4399999999987</v>
      </c>
      <c r="P29" s="985"/>
      <c r="Q29" s="430"/>
      <c r="R29" s="876"/>
      <c r="S29" s="430"/>
      <c r="T29" s="430"/>
      <c r="U29" s="430"/>
      <c r="V29" s="430"/>
      <c r="W29" s="974"/>
      <c r="X29" s="876"/>
      <c r="Y29" s="430"/>
      <c r="Z29" s="430"/>
      <c r="AA29" s="430"/>
      <c r="AB29" s="430"/>
      <c r="AC29" s="430"/>
      <c r="AD29" s="876"/>
      <c r="AE29" s="430"/>
      <c r="AF29" s="430"/>
      <c r="AG29" s="430"/>
      <c r="AH29" s="430"/>
      <c r="AI29" s="430"/>
      <c r="AJ29" s="876"/>
      <c r="AK29" s="430"/>
      <c r="AL29" s="49"/>
      <c r="AM29" s="974"/>
      <c r="AN29" s="430"/>
      <c r="AO29" s="430"/>
      <c r="AP29" s="876"/>
      <c r="AQ29" s="430"/>
      <c r="AR29" s="430"/>
      <c r="AS29" s="430"/>
      <c r="AT29" s="430"/>
      <c r="AU29" s="430"/>
      <c r="AV29" s="876"/>
      <c r="AW29" s="430"/>
      <c r="AX29" s="430"/>
      <c r="AY29" s="430"/>
      <c r="AZ29" s="430"/>
      <c r="BA29" s="430"/>
      <c r="BB29" s="876"/>
      <c r="BC29" s="974"/>
      <c r="BD29" s="430"/>
      <c r="BE29" s="430"/>
      <c r="BF29" s="430"/>
      <c r="BG29" s="430"/>
      <c r="BH29" s="876"/>
      <c r="BI29" s="430"/>
      <c r="BJ29" s="430"/>
      <c r="BK29" s="430"/>
      <c r="BL29" s="430"/>
      <c r="BM29" s="430"/>
      <c r="BN29" s="876"/>
      <c r="BO29" s="430"/>
      <c r="BP29" s="430"/>
      <c r="BQ29" s="430"/>
      <c r="BR29" s="430"/>
      <c r="BS29" s="430"/>
      <c r="BT29" s="876"/>
      <c r="BU29" s="430"/>
      <c r="BV29" s="430"/>
      <c r="BW29" s="430"/>
      <c r="BX29" s="430"/>
      <c r="BY29" s="975"/>
      <c r="BZ29" s="876"/>
      <c r="CA29" s="430"/>
      <c r="CB29" s="430"/>
      <c r="CC29" s="430"/>
      <c r="CD29" s="430"/>
      <c r="CE29" s="430"/>
      <c r="CF29" s="876"/>
      <c r="CG29" s="876"/>
      <c r="CH29" s="876"/>
      <c r="CI29" s="430"/>
      <c r="CJ29" s="430"/>
      <c r="CK29" s="430"/>
      <c r="CL29" s="430"/>
      <c r="CM29" s="430"/>
      <c r="CN29" s="876"/>
      <c r="CO29" s="430"/>
      <c r="CP29" s="430"/>
      <c r="CQ29" s="430"/>
      <c r="CR29" s="430"/>
      <c r="CS29" s="430"/>
      <c r="CT29" s="876"/>
      <c r="CU29" s="430"/>
      <c r="CV29" s="430"/>
      <c r="CW29" s="430"/>
      <c r="CX29" s="430"/>
      <c r="CY29" s="430"/>
      <c r="CZ29" s="876"/>
      <c r="DA29" s="430"/>
      <c r="DB29" s="430"/>
      <c r="DC29" s="430"/>
      <c r="DD29" s="430"/>
      <c r="DE29" s="430"/>
      <c r="DF29" s="430"/>
      <c r="DG29" s="430"/>
      <c r="DH29" s="430"/>
      <c r="DI29" s="430"/>
      <c r="DJ29" s="430"/>
      <c r="DK29" s="430"/>
      <c r="DL29" s="430"/>
      <c r="DM29" s="430"/>
      <c r="DN29" s="430"/>
      <c r="DO29" s="430"/>
      <c r="DP29" s="430"/>
      <c r="DQ29" s="430"/>
      <c r="DR29" s="430"/>
      <c r="DS29" s="430"/>
      <c r="DT29" s="430"/>
      <c r="DU29" s="430"/>
      <c r="DV29" s="430"/>
      <c r="DW29" s="430"/>
      <c r="DX29" s="430"/>
      <c r="DY29" s="430"/>
      <c r="DZ29" s="430"/>
      <c r="EA29" s="430"/>
      <c r="EB29" s="430"/>
      <c r="EC29" s="430"/>
      <c r="ED29" s="430"/>
      <c r="EE29" s="430"/>
      <c r="EF29" s="430"/>
      <c r="EG29" s="430"/>
      <c r="EH29" s="430"/>
      <c r="EI29" s="430"/>
      <c r="EJ29" s="430"/>
      <c r="EK29" s="430"/>
      <c r="EL29" s="430"/>
      <c r="EM29" s="430"/>
      <c r="EN29" s="430"/>
      <c r="EO29" s="430"/>
      <c r="EP29" s="430"/>
      <c r="EQ29" s="430"/>
      <c r="ER29" s="430"/>
      <c r="ES29" s="430"/>
      <c r="ET29" s="430"/>
      <c r="EU29" s="430"/>
      <c r="EV29" s="430"/>
      <c r="EW29" s="430"/>
      <c r="EX29" s="430"/>
      <c r="EY29" s="430"/>
      <c r="EZ29" s="430"/>
      <c r="FA29" s="430"/>
      <c r="FB29" s="430"/>
      <c r="FC29" s="430"/>
      <c r="FD29" s="430"/>
      <c r="FE29" s="430"/>
      <c r="FF29" s="430"/>
      <c r="FG29" s="430"/>
      <c r="FH29" s="430"/>
      <c r="FI29" s="430"/>
      <c r="FJ29" s="430"/>
      <c r="FK29" s="430"/>
      <c r="FL29" s="430"/>
      <c r="FM29" s="430"/>
      <c r="FN29" s="430"/>
      <c r="FO29" s="430"/>
      <c r="FP29" s="430"/>
      <c r="FQ29" s="430"/>
      <c r="FR29" s="430"/>
      <c r="FS29" s="430"/>
      <c r="FT29" s="430"/>
      <c r="FU29" s="430"/>
      <c r="FV29" s="430"/>
      <c r="FW29" s="430"/>
      <c r="FX29" s="430"/>
      <c r="FY29" s="430"/>
      <c r="FZ29" s="430"/>
      <c r="GA29" s="430"/>
    </row>
    <row r="30" spans="1:183">
      <c r="A30" s="981"/>
      <c r="B30" s="907"/>
      <c r="C30" s="912" t="s">
        <v>163</v>
      </c>
      <c r="D30" s="876">
        <v>6617.6</v>
      </c>
      <c r="E30" s="982"/>
      <c r="F30" s="982"/>
      <c r="G30" s="983"/>
      <c r="H30" s="876"/>
      <c r="I30" s="93">
        <f t="shared" si="33"/>
        <v>6617.6</v>
      </c>
      <c r="J30" s="876"/>
      <c r="K30" s="930">
        <f t="shared" si="34"/>
        <v>0</v>
      </c>
      <c r="L30" s="930">
        <f t="shared" si="35"/>
        <v>1</v>
      </c>
      <c r="M30" s="876">
        <f>4359+5568</f>
        <v>9927</v>
      </c>
      <c r="N30" s="984"/>
      <c r="O30" s="931">
        <f t="shared" si="36"/>
        <v>3309.3999999999996</v>
      </c>
      <c r="P30" s="985"/>
      <c r="Q30" s="430"/>
      <c r="R30" s="876"/>
      <c r="S30" s="430"/>
      <c r="T30" s="430"/>
      <c r="U30" s="430"/>
      <c r="V30" s="430"/>
      <c r="W30" s="974"/>
      <c r="X30" s="876"/>
      <c r="Y30" s="430"/>
      <c r="Z30" s="430"/>
      <c r="AA30" s="430"/>
      <c r="AB30" s="430"/>
      <c r="AC30" s="430"/>
      <c r="AD30" s="876"/>
      <c r="AE30" s="430"/>
      <c r="AF30" s="430"/>
      <c r="AG30" s="430"/>
      <c r="AH30" s="430"/>
      <c r="AI30" s="430"/>
      <c r="AJ30" s="876"/>
      <c r="AK30" s="430"/>
      <c r="AL30" s="49"/>
      <c r="AM30" s="974"/>
      <c r="AN30" s="430"/>
      <c r="AO30" s="430"/>
      <c r="AP30" s="876"/>
      <c r="AQ30" s="430"/>
      <c r="AR30" s="430"/>
      <c r="AS30" s="430"/>
      <c r="AT30" s="430"/>
      <c r="AU30" s="430"/>
      <c r="AV30" s="876"/>
      <c r="AW30" s="430"/>
      <c r="AX30" s="430"/>
      <c r="AY30" s="430"/>
      <c r="AZ30" s="430"/>
      <c r="BA30" s="430"/>
      <c r="BB30" s="876"/>
      <c r="BC30" s="974"/>
      <c r="BD30" s="430"/>
      <c r="BE30" s="430"/>
      <c r="BF30" s="430"/>
      <c r="BG30" s="430"/>
      <c r="BH30" s="876"/>
      <c r="BI30" s="430"/>
      <c r="BJ30" s="430"/>
      <c r="BK30" s="430"/>
      <c r="BL30" s="430"/>
      <c r="BM30" s="430"/>
      <c r="BN30" s="876"/>
      <c r="BO30" s="430"/>
      <c r="BP30" s="430"/>
      <c r="BQ30" s="430"/>
      <c r="BR30" s="430"/>
      <c r="BS30" s="430"/>
      <c r="BT30" s="876"/>
      <c r="BU30" s="430"/>
      <c r="BV30" s="430"/>
      <c r="BW30" s="430"/>
      <c r="BX30" s="430"/>
      <c r="BY30" s="975"/>
      <c r="BZ30" s="876"/>
      <c r="CA30" s="430"/>
      <c r="CB30" s="430"/>
      <c r="CC30" s="430"/>
      <c r="CD30" s="430"/>
      <c r="CE30" s="430"/>
      <c r="CF30" s="876"/>
      <c r="CG30" s="876"/>
      <c r="CH30" s="876"/>
      <c r="CI30" s="430"/>
      <c r="CJ30" s="430"/>
      <c r="CK30" s="430"/>
      <c r="CL30" s="430"/>
      <c r="CM30" s="430"/>
      <c r="CN30" s="876"/>
      <c r="CO30" s="430"/>
      <c r="CP30" s="430"/>
      <c r="CQ30" s="430"/>
      <c r="CR30" s="430"/>
      <c r="CS30" s="430"/>
      <c r="CT30" s="876"/>
      <c r="CU30" s="430"/>
      <c r="CV30" s="430"/>
      <c r="CW30" s="430"/>
      <c r="CX30" s="430"/>
      <c r="CY30" s="430"/>
      <c r="CZ30" s="876"/>
      <c r="DA30" s="430"/>
      <c r="DB30" s="430"/>
      <c r="DC30" s="430"/>
      <c r="DD30" s="430"/>
      <c r="DE30" s="430"/>
      <c r="DF30" s="430"/>
      <c r="DG30" s="430"/>
      <c r="DH30" s="430"/>
      <c r="DI30" s="430"/>
      <c r="DJ30" s="430"/>
      <c r="DK30" s="430"/>
      <c r="DL30" s="430"/>
      <c r="DM30" s="430"/>
      <c r="DN30" s="430"/>
      <c r="DO30" s="430"/>
      <c r="DP30" s="430"/>
      <c r="DQ30" s="430"/>
      <c r="DR30" s="430"/>
      <c r="DS30" s="430"/>
      <c r="DT30" s="430"/>
      <c r="DU30" s="430"/>
      <c r="DV30" s="430"/>
      <c r="DW30" s="430"/>
      <c r="DX30" s="430"/>
      <c r="DY30" s="430"/>
      <c r="DZ30" s="430"/>
      <c r="EA30" s="430"/>
      <c r="EB30" s="430"/>
      <c r="EC30" s="430"/>
      <c r="ED30" s="430"/>
      <c r="EE30" s="430"/>
      <c r="EF30" s="430"/>
      <c r="EG30" s="430"/>
      <c r="EH30" s="430"/>
      <c r="EI30" s="430"/>
      <c r="EJ30" s="430"/>
      <c r="EK30" s="430"/>
      <c r="EL30" s="430"/>
      <c r="EM30" s="430"/>
      <c r="EN30" s="430"/>
      <c r="EO30" s="430"/>
      <c r="EP30" s="430"/>
      <c r="EQ30" s="430"/>
      <c r="ER30" s="430"/>
      <c r="ES30" s="430"/>
      <c r="ET30" s="430"/>
      <c r="EU30" s="430"/>
      <c r="EV30" s="430"/>
      <c r="EW30" s="430"/>
      <c r="EX30" s="430"/>
      <c r="EY30" s="430"/>
      <c r="EZ30" s="430"/>
      <c r="FA30" s="430"/>
      <c r="FB30" s="430"/>
      <c r="FC30" s="430"/>
      <c r="FD30" s="430"/>
      <c r="FE30" s="430"/>
      <c r="FF30" s="430"/>
      <c r="FG30" s="430"/>
      <c r="FH30" s="430"/>
      <c r="FI30" s="430"/>
      <c r="FJ30" s="430"/>
      <c r="FK30" s="430"/>
      <c r="FL30" s="430"/>
      <c r="FM30" s="430"/>
      <c r="FN30" s="430"/>
      <c r="FO30" s="430"/>
      <c r="FP30" s="430"/>
      <c r="FQ30" s="430"/>
      <c r="FR30" s="430"/>
      <c r="FS30" s="430"/>
      <c r="FT30" s="430"/>
      <c r="FU30" s="430"/>
      <c r="FV30" s="430"/>
      <c r="FW30" s="430"/>
      <c r="FX30" s="430"/>
      <c r="FY30" s="430"/>
      <c r="FZ30" s="430"/>
      <c r="GA30" s="430"/>
    </row>
    <row r="31" spans="1:183">
      <c r="A31" s="981"/>
      <c r="B31" s="907"/>
      <c r="C31" s="912" t="s">
        <v>164</v>
      </c>
      <c r="D31" s="933">
        <v>6136.08</v>
      </c>
      <c r="E31" s="982"/>
      <c r="F31" s="982"/>
      <c r="G31" s="983"/>
      <c r="H31" s="876"/>
      <c r="I31" s="93">
        <f t="shared" si="33"/>
        <v>6136.08</v>
      </c>
      <c r="J31" s="876"/>
      <c r="K31" s="930">
        <f t="shared" si="34"/>
        <v>0</v>
      </c>
      <c r="L31" s="930">
        <f t="shared" si="35"/>
        <v>1</v>
      </c>
      <c r="M31" s="876">
        <v>6174</v>
      </c>
      <c r="N31" s="984"/>
      <c r="O31" s="931">
        <f t="shared" si="36"/>
        <v>37.920000000000073</v>
      </c>
      <c r="P31" s="985"/>
      <c r="Q31" s="430"/>
      <c r="R31" s="876"/>
      <c r="S31" s="430"/>
      <c r="T31" s="430"/>
      <c r="U31" s="430"/>
      <c r="V31" s="430"/>
      <c r="W31" s="974"/>
      <c r="X31" s="876"/>
      <c r="Y31" s="430"/>
      <c r="Z31" s="430"/>
      <c r="AA31" s="430"/>
      <c r="AB31" s="430"/>
      <c r="AC31" s="430"/>
      <c r="AD31" s="876"/>
      <c r="AE31" s="430"/>
      <c r="AF31" s="430"/>
      <c r="AG31" s="430"/>
      <c r="AH31" s="430"/>
      <c r="AI31" s="430"/>
      <c r="AJ31" s="876"/>
      <c r="AK31" s="430"/>
      <c r="AL31" s="49"/>
      <c r="AM31" s="974"/>
      <c r="AN31" s="430"/>
      <c r="AO31" s="430"/>
      <c r="AP31" s="876"/>
      <c r="AQ31" s="430"/>
      <c r="AR31" s="430"/>
      <c r="AS31" s="430"/>
      <c r="AT31" s="430"/>
      <c r="AU31" s="430"/>
      <c r="AV31" s="876"/>
      <c r="AW31" s="430"/>
      <c r="AX31" s="430"/>
      <c r="AY31" s="430"/>
      <c r="AZ31" s="430"/>
      <c r="BA31" s="430"/>
      <c r="BB31" s="876"/>
      <c r="BC31" s="974"/>
      <c r="BD31" s="430"/>
      <c r="BE31" s="430"/>
      <c r="BF31" s="430"/>
      <c r="BG31" s="430"/>
      <c r="BH31" s="876"/>
      <c r="BI31" s="430"/>
      <c r="BJ31" s="430"/>
      <c r="BK31" s="430"/>
      <c r="BL31" s="430"/>
      <c r="BM31" s="430"/>
      <c r="BN31" s="876"/>
      <c r="BO31" s="430"/>
      <c r="BP31" s="430"/>
      <c r="BQ31" s="430"/>
      <c r="BR31" s="430"/>
      <c r="BS31" s="430"/>
      <c r="BT31" s="876"/>
      <c r="BU31" s="430"/>
      <c r="BV31" s="430"/>
      <c r="BW31" s="430"/>
      <c r="BX31" s="430"/>
      <c r="BY31" s="975"/>
      <c r="BZ31" s="876"/>
      <c r="CA31" s="430"/>
      <c r="CB31" s="430"/>
      <c r="CC31" s="430"/>
      <c r="CD31" s="430"/>
      <c r="CE31" s="430"/>
      <c r="CF31" s="876"/>
      <c r="CG31" s="876"/>
      <c r="CH31" s="876"/>
      <c r="CI31" s="430"/>
      <c r="CJ31" s="430"/>
      <c r="CK31" s="430"/>
      <c r="CL31" s="430"/>
      <c r="CM31" s="430"/>
      <c r="CN31" s="876"/>
      <c r="CO31" s="430"/>
      <c r="CP31" s="430"/>
      <c r="CQ31" s="430"/>
      <c r="CR31" s="430"/>
      <c r="CS31" s="430"/>
      <c r="CT31" s="876"/>
      <c r="CU31" s="430"/>
      <c r="CV31" s="430"/>
      <c r="CW31" s="430"/>
      <c r="CX31" s="430"/>
      <c r="CY31" s="430"/>
      <c r="CZ31" s="876"/>
      <c r="DA31" s="430"/>
      <c r="DB31" s="430"/>
      <c r="DC31" s="430"/>
      <c r="DD31" s="430"/>
      <c r="DE31" s="430"/>
      <c r="DF31" s="430"/>
      <c r="DG31" s="430"/>
      <c r="DH31" s="430"/>
      <c r="DI31" s="430"/>
      <c r="DJ31" s="430"/>
      <c r="DK31" s="430"/>
      <c r="DL31" s="430"/>
      <c r="DM31" s="430"/>
      <c r="DN31" s="430"/>
      <c r="DO31" s="430"/>
      <c r="DP31" s="430"/>
      <c r="DQ31" s="430"/>
      <c r="DR31" s="430"/>
      <c r="DS31" s="430"/>
      <c r="DT31" s="430"/>
      <c r="DU31" s="430"/>
      <c r="DV31" s="430"/>
      <c r="DW31" s="430"/>
      <c r="DX31" s="430"/>
      <c r="DY31" s="430"/>
      <c r="DZ31" s="430"/>
      <c r="EA31" s="430"/>
      <c r="EB31" s="430"/>
      <c r="EC31" s="430"/>
      <c r="ED31" s="430"/>
      <c r="EE31" s="430"/>
      <c r="EF31" s="430"/>
      <c r="EG31" s="430"/>
      <c r="EH31" s="430"/>
      <c r="EI31" s="430"/>
      <c r="EJ31" s="430"/>
      <c r="EK31" s="430"/>
      <c r="EL31" s="430"/>
      <c r="EM31" s="430"/>
      <c r="EN31" s="430"/>
      <c r="EO31" s="430"/>
      <c r="EP31" s="430"/>
      <c r="EQ31" s="430"/>
      <c r="ER31" s="430"/>
      <c r="ES31" s="430"/>
      <c r="ET31" s="430"/>
      <c r="EU31" s="430"/>
      <c r="EV31" s="430"/>
      <c r="EW31" s="430"/>
      <c r="EX31" s="430"/>
      <c r="EY31" s="430"/>
      <c r="EZ31" s="430"/>
      <c r="FA31" s="430"/>
      <c r="FB31" s="430"/>
      <c r="FC31" s="430"/>
      <c r="FD31" s="430"/>
      <c r="FE31" s="430"/>
      <c r="FF31" s="430"/>
      <c r="FG31" s="430"/>
      <c r="FH31" s="430"/>
      <c r="FI31" s="430"/>
      <c r="FJ31" s="430"/>
      <c r="FK31" s="430"/>
      <c r="FL31" s="430"/>
      <c r="FM31" s="430"/>
      <c r="FN31" s="430"/>
      <c r="FO31" s="430"/>
      <c r="FP31" s="430"/>
      <c r="FQ31" s="430"/>
      <c r="FR31" s="430"/>
      <c r="FS31" s="430"/>
      <c r="FT31" s="430"/>
      <c r="FU31" s="430"/>
      <c r="FV31" s="430"/>
      <c r="FW31" s="430"/>
      <c r="FX31" s="430"/>
      <c r="FY31" s="430"/>
      <c r="FZ31" s="430"/>
      <c r="GA31" s="430"/>
    </row>
    <row r="32" spans="1:183">
      <c r="A32" s="981"/>
      <c r="B32" s="907"/>
      <c r="C32" s="912" t="s">
        <v>165</v>
      </c>
      <c r="D32" s="912">
        <v>2090</v>
      </c>
      <c r="E32" s="982"/>
      <c r="F32" s="982"/>
      <c r="G32" s="983">
        <v>7.42</v>
      </c>
      <c r="H32" s="876"/>
      <c r="I32" s="93">
        <f t="shared" si="33"/>
        <v>2082.58</v>
      </c>
      <c r="J32" s="876"/>
      <c r="K32" s="930">
        <f t="shared" si="34"/>
        <v>3.5502392344497606E-3</v>
      </c>
      <c r="L32" s="930">
        <f t="shared" si="35"/>
        <v>0.99644976076555025</v>
      </c>
      <c r="M32" s="876">
        <v>1885</v>
      </c>
      <c r="N32" s="984"/>
      <c r="O32" s="931">
        <f t="shared" si="36"/>
        <v>-197.57999999999993</v>
      </c>
      <c r="P32" s="985"/>
      <c r="Q32" s="430"/>
      <c r="R32" s="876"/>
      <c r="S32" s="430"/>
      <c r="T32" s="430"/>
      <c r="U32" s="430"/>
      <c r="V32" s="430"/>
      <c r="W32" s="974"/>
      <c r="X32" s="876"/>
      <c r="Y32" s="430"/>
      <c r="Z32" s="430"/>
      <c r="AA32" s="430"/>
      <c r="AB32" s="430"/>
      <c r="AC32" s="430"/>
      <c r="AD32" s="876"/>
      <c r="AE32" s="430"/>
      <c r="AF32" s="430"/>
      <c r="AG32" s="430"/>
      <c r="AH32" s="430"/>
      <c r="AI32" s="430"/>
      <c r="AJ32" s="876"/>
      <c r="AK32" s="430"/>
      <c r="AL32" s="49"/>
      <c r="AM32" s="974"/>
      <c r="AN32" s="430"/>
      <c r="AO32" s="430"/>
      <c r="AP32" s="876"/>
      <c r="AQ32" s="430"/>
      <c r="AR32" s="430"/>
      <c r="AS32" s="430"/>
      <c r="AT32" s="430"/>
      <c r="AU32" s="430"/>
      <c r="AV32" s="876"/>
      <c r="AW32" s="430"/>
      <c r="AX32" s="430"/>
      <c r="AY32" s="430"/>
      <c r="AZ32" s="430"/>
      <c r="BA32" s="430"/>
      <c r="BB32" s="876"/>
      <c r="BC32" s="974"/>
      <c r="BD32" s="430"/>
      <c r="BE32" s="430"/>
      <c r="BF32" s="430"/>
      <c r="BG32" s="430"/>
      <c r="BH32" s="876"/>
      <c r="BI32" s="430"/>
      <c r="BJ32" s="430"/>
      <c r="BK32" s="430"/>
      <c r="BL32" s="430"/>
      <c r="BM32" s="430"/>
      <c r="BN32" s="876"/>
      <c r="BO32" s="430"/>
      <c r="BP32" s="430"/>
      <c r="BQ32" s="430"/>
      <c r="BR32" s="430"/>
      <c r="BS32" s="430"/>
      <c r="BT32" s="876"/>
      <c r="BU32" s="430"/>
      <c r="BV32" s="430"/>
      <c r="BW32" s="430"/>
      <c r="BX32" s="430"/>
      <c r="BY32" s="975"/>
      <c r="BZ32" s="876"/>
      <c r="CA32" s="430"/>
      <c r="CB32" s="430"/>
      <c r="CC32" s="430"/>
      <c r="CD32" s="430"/>
      <c r="CE32" s="430"/>
      <c r="CF32" s="876"/>
      <c r="CG32" s="876"/>
      <c r="CH32" s="876"/>
      <c r="CI32" s="430"/>
      <c r="CJ32" s="430"/>
      <c r="CK32" s="430"/>
      <c r="CL32" s="430"/>
      <c r="CM32" s="430"/>
      <c r="CN32" s="876"/>
      <c r="CO32" s="430"/>
      <c r="CP32" s="430"/>
      <c r="CQ32" s="430"/>
      <c r="CR32" s="430"/>
      <c r="CS32" s="430"/>
      <c r="CT32" s="876"/>
      <c r="CU32" s="430"/>
      <c r="CV32" s="430"/>
      <c r="CW32" s="430"/>
      <c r="CX32" s="430"/>
      <c r="CY32" s="430"/>
      <c r="CZ32" s="876"/>
      <c r="DA32" s="430"/>
      <c r="DB32" s="430"/>
      <c r="DC32" s="430"/>
      <c r="DD32" s="430"/>
      <c r="DE32" s="430"/>
      <c r="DF32" s="430"/>
      <c r="DG32" s="430"/>
      <c r="DH32" s="430"/>
      <c r="DI32" s="430"/>
      <c r="DJ32" s="430"/>
      <c r="DK32" s="430"/>
      <c r="DL32" s="430"/>
      <c r="DM32" s="430"/>
      <c r="DN32" s="430"/>
      <c r="DO32" s="430"/>
      <c r="DP32" s="430"/>
      <c r="DQ32" s="430"/>
      <c r="DR32" s="430"/>
      <c r="DS32" s="430"/>
      <c r="DT32" s="430"/>
      <c r="DU32" s="430"/>
      <c r="DV32" s="430"/>
      <c r="DW32" s="430"/>
      <c r="DX32" s="430"/>
      <c r="DY32" s="430"/>
      <c r="DZ32" s="430"/>
      <c r="EA32" s="430"/>
      <c r="EB32" s="430"/>
      <c r="EC32" s="430"/>
      <c r="ED32" s="430"/>
      <c r="EE32" s="430"/>
      <c r="EF32" s="430"/>
      <c r="EG32" s="430"/>
      <c r="EH32" s="430"/>
      <c r="EI32" s="430"/>
      <c r="EJ32" s="430"/>
      <c r="EK32" s="430"/>
      <c r="EL32" s="430"/>
      <c r="EM32" s="430"/>
      <c r="EN32" s="430"/>
      <c r="EO32" s="430"/>
      <c r="EP32" s="430"/>
      <c r="EQ32" s="430"/>
      <c r="ER32" s="430"/>
      <c r="ES32" s="430"/>
      <c r="ET32" s="430"/>
      <c r="EU32" s="430"/>
      <c r="EV32" s="430"/>
      <c r="EW32" s="430"/>
      <c r="EX32" s="430"/>
      <c r="EY32" s="430"/>
      <c r="EZ32" s="430"/>
      <c r="FA32" s="430"/>
      <c r="FB32" s="430"/>
      <c r="FC32" s="430"/>
      <c r="FD32" s="430"/>
      <c r="FE32" s="430"/>
      <c r="FF32" s="430"/>
      <c r="FG32" s="430"/>
      <c r="FH32" s="430"/>
      <c r="FI32" s="430"/>
      <c r="FJ32" s="430"/>
      <c r="FK32" s="430"/>
      <c r="FL32" s="430"/>
      <c r="FM32" s="430"/>
      <c r="FN32" s="430"/>
      <c r="FO32" s="430"/>
      <c r="FP32" s="430"/>
      <c r="FQ32" s="430"/>
      <c r="FR32" s="430"/>
      <c r="FS32" s="430"/>
      <c r="FT32" s="430"/>
      <c r="FU32" s="430"/>
      <c r="FV32" s="430"/>
      <c r="FW32" s="430"/>
      <c r="FX32" s="430"/>
      <c r="FY32" s="430"/>
      <c r="FZ32" s="430"/>
      <c r="GA32" s="430"/>
    </row>
    <row r="33" spans="1:77">
      <c r="A33" s="981"/>
      <c r="B33" s="907"/>
      <c r="C33" s="912" t="s">
        <v>166</v>
      </c>
      <c r="D33" s="772">
        <v>0</v>
      </c>
      <c r="E33" s="982"/>
      <c r="F33" s="982"/>
      <c r="G33" s="983"/>
      <c r="H33" s="876"/>
      <c r="I33" s="93">
        <f t="shared" si="33"/>
        <v>0</v>
      </c>
      <c r="J33" s="876"/>
      <c r="K33" s="930" t="e">
        <f t="shared" si="34"/>
        <v>#DIV/0!</v>
      </c>
      <c r="L33" s="930" t="e">
        <f t="shared" si="35"/>
        <v>#DIV/0!</v>
      </c>
      <c r="M33" s="876"/>
      <c r="N33" s="984"/>
      <c r="O33" s="931">
        <f t="shared" si="36"/>
        <v>0</v>
      </c>
      <c r="P33" s="985"/>
      <c r="Q33" s="430"/>
      <c r="R33" s="876"/>
      <c r="S33" s="430"/>
      <c r="T33" s="430"/>
      <c r="U33" s="430"/>
      <c r="V33" s="430"/>
      <c r="W33" s="974"/>
      <c r="X33" s="876"/>
      <c r="Y33" s="430"/>
      <c r="Z33" s="430"/>
      <c r="AA33" s="430"/>
      <c r="AB33" s="430"/>
      <c r="AC33" s="430"/>
      <c r="AD33" s="876"/>
      <c r="AE33" s="430"/>
      <c r="AF33" s="430"/>
      <c r="AG33" s="430"/>
      <c r="AH33" s="430"/>
      <c r="AI33" s="430"/>
      <c r="AJ33" s="876"/>
      <c r="AK33" s="430"/>
      <c r="AL33" s="49"/>
      <c r="AM33" s="974"/>
      <c r="AN33" s="430"/>
      <c r="AO33" s="430"/>
      <c r="AP33" s="876"/>
      <c r="AQ33" s="430"/>
      <c r="AR33" s="430"/>
      <c r="AS33" s="430"/>
      <c r="AT33" s="430"/>
      <c r="AU33" s="430"/>
      <c r="AV33" s="876"/>
      <c r="AW33" s="430"/>
      <c r="AX33" s="430"/>
      <c r="AY33" s="430"/>
      <c r="AZ33" s="430"/>
      <c r="BA33" s="430"/>
      <c r="BB33" s="876"/>
      <c r="BC33" s="974"/>
      <c r="BD33" s="430"/>
      <c r="BE33" s="430"/>
      <c r="BF33" s="430"/>
      <c r="BG33" s="430"/>
      <c r="BH33" s="876"/>
      <c r="BI33" s="430"/>
      <c r="BJ33" s="430"/>
      <c r="BK33" s="430"/>
      <c r="BL33" s="430"/>
      <c r="BM33" s="430"/>
      <c r="BN33" s="876"/>
      <c r="BO33" s="430"/>
      <c r="BP33" s="430"/>
      <c r="BQ33" s="430"/>
      <c r="BR33" s="430"/>
      <c r="BS33" s="430"/>
      <c r="BT33" s="876"/>
      <c r="BU33" s="430"/>
      <c r="BV33" s="430"/>
      <c r="BW33" s="430"/>
      <c r="BX33" s="430"/>
      <c r="BY33" s="975"/>
    </row>
    <row r="34" spans="1:77">
      <c r="A34" s="981"/>
      <c r="B34" s="907"/>
      <c r="C34" s="912" t="s">
        <v>167</v>
      </c>
      <c r="D34" s="772">
        <v>2831.1</v>
      </c>
      <c r="E34" s="982"/>
      <c r="F34" s="982"/>
      <c r="G34" s="983">
        <v>3.65</v>
      </c>
      <c r="H34" s="876"/>
      <c r="I34" s="93">
        <f t="shared" si="33"/>
        <v>2827.45</v>
      </c>
      <c r="J34" s="876"/>
      <c r="K34" s="930">
        <f t="shared" si="34"/>
        <v>1.2892515276747554E-3</v>
      </c>
      <c r="L34" s="930">
        <f t="shared" si="35"/>
        <v>0.99871074847232522</v>
      </c>
      <c r="M34" s="912">
        <v>4420</v>
      </c>
      <c r="N34" s="984"/>
      <c r="O34" s="931">
        <f t="shared" si="36"/>
        <v>1592.5500000000002</v>
      </c>
      <c r="P34" s="985"/>
      <c r="Q34" s="430"/>
      <c r="R34" s="876"/>
      <c r="S34" s="430"/>
      <c r="T34" s="430"/>
      <c r="U34" s="430"/>
      <c r="V34" s="430"/>
      <c r="W34" s="974"/>
      <c r="X34" s="876"/>
      <c r="Y34" s="430"/>
      <c r="Z34" s="430"/>
      <c r="AA34" s="430"/>
      <c r="AB34" s="430"/>
      <c r="AC34" s="430"/>
      <c r="AD34" s="876"/>
      <c r="AE34" s="430"/>
      <c r="AF34" s="430"/>
      <c r="AG34" s="430"/>
      <c r="AH34" s="430"/>
      <c r="AI34" s="430"/>
      <c r="AJ34" s="876"/>
      <c r="AK34" s="430"/>
      <c r="AL34" s="49"/>
      <c r="AM34" s="974"/>
      <c r="AN34" s="430"/>
      <c r="AO34" s="430"/>
      <c r="AP34" s="876"/>
      <c r="AQ34" s="430"/>
      <c r="AR34" s="430"/>
      <c r="AS34" s="430"/>
      <c r="AT34" s="430"/>
      <c r="AU34" s="430"/>
      <c r="AV34" s="876"/>
      <c r="AW34" s="430"/>
      <c r="AX34" s="430"/>
      <c r="AY34" s="430"/>
      <c r="AZ34" s="430"/>
      <c r="BA34" s="430"/>
      <c r="BB34" s="876"/>
      <c r="BC34" s="974"/>
      <c r="BD34" s="430"/>
      <c r="BE34" s="430"/>
      <c r="BF34" s="430"/>
      <c r="BG34" s="430"/>
      <c r="BH34" s="876"/>
      <c r="BI34" s="430"/>
      <c r="BJ34" s="430"/>
      <c r="BK34" s="430"/>
      <c r="BL34" s="430"/>
      <c r="BM34" s="430"/>
      <c r="BN34" s="876"/>
      <c r="BO34" s="430"/>
      <c r="BP34" s="430"/>
      <c r="BQ34" s="430"/>
      <c r="BR34" s="430"/>
      <c r="BS34" s="430"/>
      <c r="BT34" s="876"/>
      <c r="BU34" s="430"/>
      <c r="BV34" s="430"/>
      <c r="BW34" s="430"/>
      <c r="BX34" s="430"/>
      <c r="BY34" s="975"/>
    </row>
    <row r="35" spans="1:77">
      <c r="A35" s="981"/>
      <c r="B35" s="907"/>
      <c r="C35" s="912" t="s">
        <v>19</v>
      </c>
      <c r="D35" s="772">
        <v>0</v>
      </c>
      <c r="E35" s="982"/>
      <c r="F35" s="982"/>
      <c r="G35" s="983"/>
      <c r="H35" s="876"/>
      <c r="I35" s="93">
        <f t="shared" si="33"/>
        <v>0</v>
      </c>
      <c r="J35" s="876"/>
      <c r="K35" s="930" t="e">
        <f t="shared" si="34"/>
        <v>#DIV/0!</v>
      </c>
      <c r="L35" s="930" t="e">
        <f t="shared" si="35"/>
        <v>#DIV/0!</v>
      </c>
      <c r="M35" s="876"/>
      <c r="N35" s="984"/>
      <c r="O35" s="931">
        <f t="shared" si="36"/>
        <v>0</v>
      </c>
      <c r="P35" s="985"/>
      <c r="Q35" s="430"/>
      <c r="R35" s="876"/>
      <c r="S35" s="430"/>
      <c r="T35" s="430"/>
      <c r="U35" s="430"/>
      <c r="V35" s="430"/>
      <c r="W35" s="974"/>
      <c r="X35" s="876"/>
      <c r="Y35" s="430"/>
      <c r="Z35" s="430"/>
      <c r="AA35" s="430"/>
      <c r="AB35" s="430"/>
      <c r="AC35" s="430"/>
      <c r="AD35" s="876"/>
      <c r="AE35" s="430"/>
      <c r="AF35" s="430"/>
      <c r="AG35" s="430"/>
      <c r="AH35" s="430"/>
      <c r="AI35" s="430"/>
      <c r="AJ35" s="876"/>
      <c r="AK35" s="430"/>
      <c r="AL35" s="49"/>
      <c r="AM35" s="974"/>
      <c r="AN35" s="430"/>
      <c r="AO35" s="430"/>
      <c r="AP35" s="876"/>
      <c r="AQ35" s="430"/>
      <c r="AR35" s="430"/>
      <c r="AS35" s="430"/>
      <c r="AT35" s="430"/>
      <c r="AU35" s="430"/>
      <c r="AV35" s="876"/>
      <c r="AW35" s="430"/>
      <c r="AX35" s="430"/>
      <c r="AY35" s="430"/>
      <c r="AZ35" s="430"/>
      <c r="BA35" s="430"/>
      <c r="BB35" s="876"/>
      <c r="BC35" s="974"/>
      <c r="BD35" s="430"/>
      <c r="BE35" s="430"/>
      <c r="BF35" s="430"/>
      <c r="BG35" s="430"/>
      <c r="BH35" s="876"/>
      <c r="BI35" s="430"/>
      <c r="BJ35" s="430"/>
      <c r="BK35" s="430"/>
      <c r="BL35" s="430"/>
      <c r="BM35" s="430"/>
      <c r="BN35" s="876"/>
      <c r="BO35" s="430"/>
      <c r="BP35" s="430"/>
      <c r="BQ35" s="430"/>
      <c r="BR35" s="430"/>
      <c r="BS35" s="430"/>
      <c r="BT35" s="876"/>
      <c r="BU35" s="430"/>
      <c r="BV35" s="430"/>
      <c r="BW35" s="430"/>
      <c r="BX35" s="430"/>
      <c r="BY35" s="975"/>
    </row>
    <row r="36" spans="1:77">
      <c r="A36" s="981"/>
      <c r="B36" s="907"/>
      <c r="C36" s="912" t="s">
        <v>168</v>
      </c>
      <c r="D36" s="772">
        <v>0</v>
      </c>
      <c r="E36" s="982"/>
      <c r="F36" s="982"/>
      <c r="G36" s="983"/>
      <c r="H36" s="876"/>
      <c r="I36" s="93">
        <f t="shared" si="33"/>
        <v>0</v>
      </c>
      <c r="J36" s="876"/>
      <c r="K36" s="930" t="e">
        <f t="shared" si="34"/>
        <v>#DIV/0!</v>
      </c>
      <c r="L36" s="930" t="e">
        <f t="shared" si="35"/>
        <v>#DIV/0!</v>
      </c>
      <c r="M36" s="876"/>
      <c r="N36" s="984"/>
      <c r="O36" s="931">
        <f t="shared" si="36"/>
        <v>0</v>
      </c>
      <c r="P36" s="985"/>
      <c r="Q36" s="430"/>
      <c r="R36" s="876"/>
      <c r="S36" s="430"/>
      <c r="T36" s="430"/>
      <c r="U36" s="430"/>
      <c r="V36" s="430"/>
      <c r="W36" s="974"/>
      <c r="X36" s="876"/>
      <c r="Y36" s="430"/>
      <c r="Z36" s="430"/>
      <c r="AA36" s="430"/>
      <c r="AB36" s="430"/>
      <c r="AC36" s="430"/>
      <c r="AD36" s="876"/>
      <c r="AE36" s="430"/>
      <c r="AF36" s="430"/>
      <c r="AG36" s="430"/>
      <c r="AH36" s="430"/>
      <c r="AI36" s="430"/>
      <c r="AJ36" s="876"/>
      <c r="AK36" s="430"/>
      <c r="AL36" s="49"/>
      <c r="AM36" s="974"/>
      <c r="AN36" s="430"/>
      <c r="AO36" s="430"/>
      <c r="AP36" s="876"/>
      <c r="AQ36" s="430"/>
      <c r="AR36" s="430"/>
      <c r="AS36" s="430"/>
      <c r="AT36" s="430"/>
      <c r="AU36" s="430"/>
      <c r="AV36" s="876"/>
      <c r="AW36" s="430"/>
      <c r="AX36" s="430"/>
      <c r="AY36" s="430"/>
      <c r="AZ36" s="430"/>
      <c r="BA36" s="430"/>
      <c r="BB36" s="876"/>
      <c r="BC36" s="974"/>
      <c r="BD36" s="430"/>
      <c r="BE36" s="430"/>
      <c r="BF36" s="430"/>
      <c r="BG36" s="430"/>
      <c r="BH36" s="876"/>
      <c r="BI36" s="430"/>
      <c r="BJ36" s="430"/>
      <c r="BK36" s="430"/>
      <c r="BL36" s="430"/>
      <c r="BM36" s="430"/>
      <c r="BN36" s="876"/>
      <c r="BO36" s="430"/>
      <c r="BP36" s="430"/>
      <c r="BQ36" s="430"/>
      <c r="BR36" s="430"/>
      <c r="BS36" s="430"/>
      <c r="BT36" s="876"/>
      <c r="BU36" s="430"/>
      <c r="BV36" s="430"/>
      <c r="BW36" s="430"/>
      <c r="BX36" s="430"/>
      <c r="BY36" s="975"/>
    </row>
    <row r="37" spans="1:77">
      <c r="A37" s="981"/>
      <c r="B37" s="907"/>
      <c r="C37" s="912" t="s">
        <v>169</v>
      </c>
      <c r="D37" s="772">
        <v>0</v>
      </c>
      <c r="E37" s="982"/>
      <c r="F37" s="982"/>
      <c r="G37" s="983"/>
      <c r="H37" s="876"/>
      <c r="I37" s="93">
        <f t="shared" si="33"/>
        <v>0</v>
      </c>
      <c r="J37" s="876"/>
      <c r="K37" s="930" t="e">
        <f t="shared" si="34"/>
        <v>#DIV/0!</v>
      </c>
      <c r="L37" s="930" t="e">
        <f>1-(G37/(D37+E37+F37))</f>
        <v>#DIV/0!</v>
      </c>
      <c r="M37" s="876"/>
      <c r="N37" s="984"/>
      <c r="O37" s="931">
        <f t="shared" si="36"/>
        <v>0</v>
      </c>
      <c r="P37" s="985"/>
      <c r="Q37" s="430"/>
      <c r="R37" s="876"/>
      <c r="S37" s="430"/>
      <c r="T37" s="430"/>
      <c r="U37" s="430"/>
      <c r="V37" s="430"/>
      <c r="W37" s="974"/>
      <c r="X37" s="876"/>
      <c r="Y37" s="430"/>
      <c r="Z37" s="430"/>
      <c r="AA37" s="430"/>
      <c r="AB37" s="430"/>
      <c r="AC37" s="430"/>
      <c r="AD37" s="876"/>
      <c r="AE37" s="430"/>
      <c r="AF37" s="430"/>
      <c r="AG37" s="430"/>
      <c r="AH37" s="430"/>
      <c r="AI37" s="430"/>
      <c r="AJ37" s="876"/>
      <c r="AK37" s="430"/>
      <c r="AL37" s="49"/>
      <c r="AM37" s="974"/>
      <c r="AN37" s="430"/>
      <c r="AO37" s="430"/>
      <c r="AP37" s="876"/>
      <c r="AQ37" s="430"/>
      <c r="AR37" s="430"/>
      <c r="AS37" s="430"/>
      <c r="AT37" s="430"/>
      <c r="AU37" s="430"/>
      <c r="AV37" s="876"/>
      <c r="AW37" s="430"/>
      <c r="AX37" s="430"/>
      <c r="AY37" s="430"/>
      <c r="AZ37" s="430"/>
      <c r="BA37" s="430"/>
      <c r="BB37" s="876"/>
      <c r="BC37" s="974"/>
      <c r="BD37" s="430"/>
      <c r="BE37" s="430"/>
      <c r="BF37" s="430"/>
      <c r="BG37" s="430"/>
      <c r="BH37" s="876"/>
      <c r="BI37" s="430"/>
      <c r="BJ37" s="430"/>
      <c r="BK37" s="430"/>
      <c r="BL37" s="430"/>
      <c r="BM37" s="430"/>
      <c r="BN37" s="876"/>
      <c r="BO37" s="430"/>
      <c r="BP37" s="430"/>
      <c r="BQ37" s="430"/>
      <c r="BR37" s="430"/>
      <c r="BS37" s="430"/>
      <c r="BT37" s="876"/>
      <c r="BU37" s="430"/>
      <c r="BV37" s="430"/>
      <c r="BW37" s="430"/>
      <c r="BX37" s="430"/>
      <c r="BY37" s="975"/>
    </row>
    <row r="38" spans="1:77" ht="13.5" thickBot="1">
      <c r="A38" s="986"/>
      <c r="B38" s="950"/>
      <c r="C38" s="73" t="s">
        <v>57</v>
      </c>
      <c r="D38" s="15">
        <f>SUM(D29:D37)</f>
        <v>45176.78</v>
      </c>
      <c r="E38" s="87">
        <f>SUM(E29:E37)</f>
        <v>-34</v>
      </c>
      <c r="F38" s="15">
        <f>SUM(F29:F37)</f>
        <v>0</v>
      </c>
      <c r="G38" s="90">
        <f>SUM(G29:G37)</f>
        <v>94.63000000000001</v>
      </c>
      <c r="H38" s="948"/>
      <c r="I38" s="16">
        <f>SUM(I29:I37)</f>
        <v>45048.15</v>
      </c>
      <c r="J38" s="951">
        <f>SUM(J17:J18,J21:J22,J25:J26,J29:J30,J33:J36)</f>
        <v>882986</v>
      </c>
      <c r="K38" s="77">
        <f t="shared" si="34"/>
        <v>2.0962377593936399E-3</v>
      </c>
      <c r="L38" s="74">
        <f>1-((G38-H38)/(D38+E38+F38))</f>
        <v>0.9979037622406064</v>
      </c>
      <c r="M38" s="15">
        <f>SUM(M29:M37)</f>
        <v>46907</v>
      </c>
      <c r="N38" s="78">
        <f>2852+2194</f>
        <v>5046</v>
      </c>
      <c r="O38" s="76">
        <f>M38-I38</f>
        <v>1858.8499999999985</v>
      </c>
      <c r="P38" s="19">
        <f>M38+N38-I38</f>
        <v>6904.8499999999985</v>
      </c>
      <c r="Q38" s="430"/>
      <c r="R38" s="876"/>
      <c r="S38" s="430"/>
      <c r="T38" s="430"/>
      <c r="U38" s="430"/>
      <c r="V38" s="430"/>
      <c r="W38" s="974"/>
      <c r="X38" s="876"/>
      <c r="Y38" s="430"/>
      <c r="Z38" s="430"/>
      <c r="AA38" s="430"/>
      <c r="AB38" s="430"/>
      <c r="AC38" s="430"/>
      <c r="AD38" s="876"/>
      <c r="AE38" s="430"/>
      <c r="AF38" s="430"/>
      <c r="AG38" s="430"/>
      <c r="AH38" s="430"/>
      <c r="AI38" s="430"/>
      <c r="AJ38" s="876"/>
      <c r="AK38" s="430"/>
      <c r="AL38" s="49"/>
      <c r="AM38" s="974"/>
      <c r="AN38" s="430"/>
      <c r="AO38" s="430"/>
      <c r="AP38" s="876"/>
      <c r="AQ38" s="430"/>
      <c r="AR38" s="430"/>
      <c r="AS38" s="430"/>
      <c r="AT38" s="430"/>
      <c r="AU38" s="430"/>
      <c r="AV38" s="876"/>
      <c r="AW38" s="430"/>
      <c r="AX38" s="430"/>
      <c r="AY38" s="430"/>
      <c r="AZ38" s="430"/>
      <c r="BA38" s="430"/>
      <c r="BB38" s="876"/>
      <c r="BC38" s="974"/>
      <c r="BD38" s="430"/>
      <c r="BE38" s="430"/>
      <c r="BF38" s="430"/>
      <c r="BG38" s="430"/>
      <c r="BH38" s="876"/>
      <c r="BI38" s="430"/>
      <c r="BJ38" s="430"/>
      <c r="BK38" s="430"/>
      <c r="BL38" s="430"/>
      <c r="BM38" s="430"/>
      <c r="BN38" s="876"/>
      <c r="BO38" s="430"/>
      <c r="BP38" s="430"/>
      <c r="BQ38" s="430"/>
      <c r="BR38" s="430"/>
      <c r="BS38" s="430"/>
      <c r="BT38" s="876"/>
      <c r="BU38" s="430"/>
      <c r="BV38" s="430"/>
      <c r="BW38" s="430"/>
      <c r="BX38" s="430"/>
      <c r="BY38" s="975"/>
    </row>
    <row r="39" spans="1:77" ht="13.5" thickBot="1">
      <c r="A39" s="910"/>
      <c r="B39" s="907"/>
      <c r="C39" s="1"/>
      <c r="D39" s="79"/>
      <c r="E39" s="79"/>
      <c r="F39" s="79"/>
      <c r="G39" s="79"/>
      <c r="H39" s="876"/>
      <c r="I39" s="79"/>
      <c r="J39" s="987"/>
      <c r="K39" s="33"/>
      <c r="L39" s="80"/>
      <c r="M39" s="79"/>
      <c r="N39" s="79"/>
      <c r="O39" s="81"/>
      <c r="P39" s="82"/>
      <c r="Q39" s="430"/>
      <c r="R39" s="876"/>
      <c r="S39" s="430"/>
      <c r="T39" s="430"/>
      <c r="U39" s="430"/>
      <c r="V39" s="430"/>
      <c r="W39" s="974"/>
      <c r="X39" s="876"/>
      <c r="Y39" s="430"/>
      <c r="Z39" s="430"/>
      <c r="AA39" s="430"/>
      <c r="AB39" s="430"/>
      <c r="AC39" s="430"/>
      <c r="AD39" s="876"/>
      <c r="AE39" s="430"/>
      <c r="AF39" s="430"/>
      <c r="AG39" s="430"/>
      <c r="AH39" s="430"/>
      <c r="AI39" s="430"/>
      <c r="AJ39" s="876"/>
      <c r="AK39" s="430"/>
      <c r="AL39" s="49"/>
      <c r="AM39" s="974"/>
      <c r="AN39" s="430"/>
      <c r="AO39" s="430"/>
      <c r="AP39" s="876"/>
      <c r="AQ39" s="430"/>
      <c r="AR39" s="430"/>
      <c r="AS39" s="430"/>
      <c r="AT39" s="430"/>
      <c r="AU39" s="430"/>
      <c r="AV39" s="876"/>
      <c r="AW39" s="430"/>
      <c r="AX39" s="430"/>
      <c r="AY39" s="430"/>
      <c r="AZ39" s="430"/>
      <c r="BA39" s="430"/>
      <c r="BB39" s="876"/>
      <c r="BC39" s="974"/>
      <c r="BD39" s="430"/>
      <c r="BE39" s="430"/>
      <c r="BF39" s="430"/>
      <c r="BG39" s="430"/>
      <c r="BH39" s="876"/>
      <c r="BI39" s="430"/>
      <c r="BJ39" s="430"/>
      <c r="BK39" s="430"/>
      <c r="BL39" s="430"/>
      <c r="BM39" s="430"/>
      <c r="BN39" s="876"/>
      <c r="BO39" s="430"/>
      <c r="BP39" s="430"/>
      <c r="BQ39" s="430"/>
      <c r="BR39" s="430"/>
      <c r="BS39" s="430"/>
      <c r="BT39" s="876"/>
      <c r="BU39" s="430"/>
      <c r="BV39" s="430"/>
      <c r="BW39" s="430"/>
      <c r="BX39" s="430"/>
      <c r="BY39" s="975"/>
    </row>
    <row r="40" spans="1:77">
      <c r="A40" s="976"/>
      <c r="B40" s="970"/>
      <c r="C40" s="75" t="s">
        <v>73</v>
      </c>
      <c r="D40" s="971"/>
      <c r="E40" s="969"/>
      <c r="F40" s="969"/>
      <c r="G40" s="972"/>
      <c r="H40" s="971"/>
      <c r="I40" s="977"/>
      <c r="J40" s="971"/>
      <c r="K40" s="978"/>
      <c r="L40" s="971"/>
      <c r="M40" s="971"/>
      <c r="N40" s="979"/>
      <c r="O40" s="971"/>
      <c r="P40" s="980"/>
      <c r="Q40" s="430"/>
      <c r="R40" s="876"/>
      <c r="S40" s="430"/>
      <c r="T40" s="430"/>
      <c r="U40" s="430"/>
      <c r="V40" s="430"/>
      <c r="W40" s="974"/>
      <c r="X40" s="876"/>
      <c r="Y40" s="430"/>
      <c r="Z40" s="430"/>
      <c r="AA40" s="430"/>
      <c r="AB40" s="430"/>
      <c r="AC40" s="430"/>
      <c r="AD40" s="876"/>
      <c r="AE40" s="430"/>
      <c r="AF40" s="430"/>
      <c r="AG40" s="430"/>
      <c r="AH40" s="430"/>
      <c r="AI40" s="430"/>
      <c r="AJ40" s="876"/>
      <c r="AK40" s="430"/>
      <c r="AL40" s="49"/>
      <c r="AM40" s="974"/>
      <c r="AN40" s="430"/>
      <c r="AO40" s="430"/>
      <c r="AP40" s="876"/>
      <c r="AQ40" s="430"/>
      <c r="AR40" s="430"/>
      <c r="AS40" s="430"/>
      <c r="AT40" s="430"/>
      <c r="AU40" s="430"/>
      <c r="AV40" s="876"/>
      <c r="AW40" s="430"/>
      <c r="AX40" s="430"/>
      <c r="AY40" s="430"/>
      <c r="AZ40" s="430"/>
      <c r="BA40" s="430"/>
      <c r="BB40" s="876"/>
      <c r="BC40" s="974"/>
      <c r="BD40" s="430"/>
      <c r="BE40" s="430"/>
      <c r="BF40" s="430"/>
      <c r="BG40" s="430"/>
      <c r="BH40" s="876"/>
      <c r="BI40" s="430"/>
      <c r="BJ40" s="430"/>
      <c r="BK40" s="430"/>
      <c r="BL40" s="430"/>
      <c r="BM40" s="430"/>
      <c r="BN40" s="876"/>
      <c r="BO40" s="430"/>
      <c r="BP40" s="430"/>
      <c r="BQ40" s="430"/>
      <c r="BR40" s="430"/>
      <c r="BS40" s="430"/>
      <c r="BT40" s="876"/>
      <c r="BU40" s="430"/>
      <c r="BV40" s="430"/>
      <c r="BW40" s="430"/>
      <c r="BX40" s="430"/>
      <c r="BY40" s="975"/>
    </row>
    <row r="41" spans="1:77">
      <c r="A41" s="981"/>
      <c r="B41" s="907"/>
      <c r="C41" s="876" t="s">
        <v>77</v>
      </c>
      <c r="D41" s="120"/>
      <c r="E41" s="946"/>
      <c r="F41" s="946"/>
      <c r="G41" s="121"/>
      <c r="H41" s="876"/>
      <c r="I41" s="93">
        <f>D41-G41</f>
        <v>0</v>
      </c>
      <c r="J41" s="876"/>
      <c r="K41" s="930" t="e">
        <f>(G41-H41)/(D41+E41+F41)</f>
        <v>#DIV/0!</v>
      </c>
      <c r="L41" s="930" t="e">
        <f>1-((G41-H41)/(D41+E41+F41))</f>
        <v>#DIV/0!</v>
      </c>
      <c r="M41" s="940">
        <v>23048.080000000002</v>
      </c>
      <c r="N41" s="988"/>
      <c r="O41" s="989">
        <f>M41-I41</f>
        <v>23048.080000000002</v>
      </c>
      <c r="P41" s="985"/>
      <c r="Q41" s="430"/>
      <c r="R41" s="876"/>
      <c r="S41" s="430"/>
      <c r="T41" s="430"/>
      <c r="U41" s="430"/>
      <c r="V41" s="430"/>
      <c r="W41" s="974"/>
      <c r="X41" s="876"/>
      <c r="Y41" s="430"/>
      <c r="Z41" s="430"/>
      <c r="AA41" s="430"/>
      <c r="AB41" s="430"/>
      <c r="AC41" s="430"/>
      <c r="AD41" s="876"/>
      <c r="AE41" s="430"/>
      <c r="AF41" s="430"/>
      <c r="AG41" s="430"/>
      <c r="AH41" s="430"/>
      <c r="AI41" s="430"/>
      <c r="AJ41" s="876"/>
      <c r="AK41" s="430"/>
      <c r="AL41" s="49"/>
      <c r="AM41" s="974"/>
      <c r="AN41" s="430"/>
      <c r="AO41" s="430"/>
      <c r="AP41" s="876"/>
      <c r="AQ41" s="430"/>
      <c r="AR41" s="430"/>
      <c r="AS41" s="430"/>
      <c r="AT41" s="430"/>
      <c r="AU41" s="430"/>
      <c r="AV41" s="876"/>
      <c r="AW41" s="430"/>
      <c r="AX41" s="430"/>
      <c r="AY41" s="430"/>
      <c r="AZ41" s="430"/>
      <c r="BA41" s="430"/>
      <c r="BB41" s="876"/>
      <c r="BC41" s="974"/>
      <c r="BD41" s="430"/>
      <c r="BE41" s="430"/>
      <c r="BF41" s="430"/>
      <c r="BG41" s="430"/>
      <c r="BH41" s="876"/>
      <c r="BI41" s="430"/>
      <c r="BJ41" s="430"/>
      <c r="BK41" s="430"/>
      <c r="BL41" s="430"/>
      <c r="BM41" s="430"/>
      <c r="BN41" s="876"/>
      <c r="BO41" s="430"/>
      <c r="BP41" s="430"/>
      <c r="BQ41" s="430"/>
      <c r="BR41" s="430"/>
      <c r="BS41" s="430"/>
      <c r="BT41" s="876"/>
      <c r="BU41" s="430"/>
      <c r="BV41" s="430"/>
      <c r="BW41" s="430"/>
      <c r="BX41" s="430"/>
      <c r="BY41" s="975"/>
    </row>
    <row r="42" spans="1:77" ht="6" customHeight="1">
      <c r="A42" s="981"/>
      <c r="B42" s="907"/>
      <c r="C42" s="876"/>
      <c r="D42" s="876"/>
      <c r="E42" s="912"/>
      <c r="F42" s="912"/>
      <c r="G42" s="990"/>
      <c r="H42" s="876"/>
      <c r="I42" s="991"/>
      <c r="J42" s="876"/>
      <c r="K42" s="930"/>
      <c r="L42" s="930"/>
      <c r="M42" s="876"/>
      <c r="N42" s="984"/>
      <c r="O42" s="876"/>
      <c r="P42" s="985"/>
      <c r="Q42" s="430"/>
      <c r="R42" s="876"/>
      <c r="S42" s="430"/>
      <c r="T42" s="430"/>
      <c r="U42" s="430"/>
      <c r="V42" s="430"/>
      <c r="W42" s="974"/>
      <c r="X42" s="876"/>
      <c r="Y42" s="430"/>
      <c r="Z42" s="430"/>
      <c r="AA42" s="430"/>
      <c r="AB42" s="430"/>
      <c r="AC42" s="430"/>
      <c r="AD42" s="876"/>
      <c r="AE42" s="430"/>
      <c r="AF42" s="430"/>
      <c r="AG42" s="430"/>
      <c r="AH42" s="430"/>
      <c r="AI42" s="430"/>
      <c r="AJ42" s="876"/>
      <c r="AK42" s="430"/>
      <c r="AL42" s="49"/>
      <c r="AM42" s="974"/>
      <c r="AN42" s="430"/>
      <c r="AO42" s="430"/>
      <c r="AP42" s="876"/>
      <c r="AQ42" s="430"/>
      <c r="AR42" s="430"/>
      <c r="AS42" s="430"/>
      <c r="AT42" s="430"/>
      <c r="AU42" s="430"/>
      <c r="AV42" s="876"/>
      <c r="AW42" s="430"/>
      <c r="AX42" s="430"/>
      <c r="AY42" s="430"/>
      <c r="AZ42" s="430"/>
      <c r="BA42" s="430"/>
      <c r="BB42" s="876"/>
      <c r="BC42" s="974"/>
      <c r="BD42" s="430"/>
      <c r="BE42" s="430"/>
      <c r="BF42" s="430"/>
      <c r="BG42" s="430"/>
      <c r="BH42" s="876"/>
      <c r="BI42" s="430"/>
      <c r="BJ42" s="430"/>
      <c r="BK42" s="430"/>
      <c r="BL42" s="430"/>
      <c r="BM42" s="430"/>
      <c r="BN42" s="876"/>
      <c r="BO42" s="430"/>
      <c r="BP42" s="430"/>
      <c r="BQ42" s="430"/>
      <c r="BR42" s="430"/>
      <c r="BS42" s="430"/>
      <c r="BT42" s="876"/>
      <c r="BU42" s="430"/>
      <c r="BV42" s="430"/>
      <c r="BW42" s="430"/>
      <c r="BX42" s="430"/>
      <c r="BY42" s="975"/>
    </row>
    <row r="43" spans="1:77">
      <c r="A43" s="981"/>
      <c r="B43" s="907"/>
      <c r="C43" s="876" t="s">
        <v>78</v>
      </c>
      <c r="D43" s="120"/>
      <c r="E43" s="946"/>
      <c r="F43" s="946"/>
      <c r="G43" s="121"/>
      <c r="H43" s="876"/>
      <c r="I43" s="93">
        <f>D43-G43</f>
        <v>0</v>
      </c>
      <c r="J43" s="876"/>
      <c r="K43" s="930" t="e">
        <f>(G43-H43)/(D43+E43+F43)</f>
        <v>#DIV/0!</v>
      </c>
      <c r="L43" s="930" t="e">
        <f>1-((G43-H43)/(D43+E43+F43))</f>
        <v>#DIV/0!</v>
      </c>
      <c r="M43" s="940">
        <v>18358.89</v>
      </c>
      <c r="N43" s="988"/>
      <c r="O43" s="989">
        <f>M43-I43</f>
        <v>18358.89</v>
      </c>
      <c r="P43" s="985"/>
      <c r="Q43" s="430"/>
      <c r="R43" s="876"/>
      <c r="S43" s="430"/>
      <c r="T43" s="430"/>
      <c r="U43" s="430"/>
      <c r="V43" s="430"/>
      <c r="W43" s="974"/>
      <c r="X43" s="876"/>
      <c r="Y43" s="430"/>
      <c r="Z43" s="430"/>
      <c r="AA43" s="430"/>
      <c r="AB43" s="430"/>
      <c r="AC43" s="430"/>
      <c r="AD43" s="876"/>
      <c r="AE43" s="430"/>
      <c r="AF43" s="430"/>
      <c r="AG43" s="430"/>
      <c r="AH43" s="430"/>
      <c r="AI43" s="430"/>
      <c r="AJ43" s="876"/>
      <c r="AK43" s="430"/>
      <c r="AL43" s="49"/>
      <c r="AM43" s="974"/>
      <c r="AN43" s="430"/>
      <c r="AO43" s="430"/>
      <c r="AP43" s="876"/>
      <c r="AQ43" s="430"/>
      <c r="AR43" s="430"/>
      <c r="AS43" s="430"/>
      <c r="AT43" s="430"/>
      <c r="AU43" s="430"/>
      <c r="AV43" s="876"/>
      <c r="AW43" s="430"/>
      <c r="AX43" s="430"/>
      <c r="AY43" s="430"/>
      <c r="AZ43" s="430"/>
      <c r="BA43" s="430"/>
      <c r="BB43" s="876"/>
      <c r="BC43" s="974"/>
      <c r="BD43" s="430"/>
      <c r="BE43" s="430"/>
      <c r="BF43" s="430"/>
      <c r="BG43" s="430"/>
      <c r="BH43" s="876"/>
      <c r="BI43" s="430"/>
      <c r="BJ43" s="430"/>
      <c r="BK43" s="430"/>
      <c r="BL43" s="430"/>
      <c r="BM43" s="430"/>
      <c r="BN43" s="876"/>
      <c r="BO43" s="430"/>
      <c r="BP43" s="430"/>
      <c r="BQ43" s="430"/>
      <c r="BR43" s="430"/>
      <c r="BS43" s="430"/>
      <c r="BT43" s="876"/>
      <c r="BU43" s="430"/>
      <c r="BV43" s="430"/>
      <c r="BW43" s="430"/>
      <c r="BX43" s="430"/>
      <c r="BY43" s="975"/>
    </row>
    <row r="44" spans="1:77">
      <c r="A44" s="981"/>
      <c r="B44" s="907"/>
      <c r="C44" s="876" t="s">
        <v>170</v>
      </c>
      <c r="D44" s="120"/>
      <c r="E44" s="946"/>
      <c r="F44" s="946"/>
      <c r="G44" s="121"/>
      <c r="H44" s="876"/>
      <c r="I44" s="93">
        <f>D44-G44</f>
        <v>0</v>
      </c>
      <c r="J44" s="876"/>
      <c r="K44" s="930" t="e">
        <f>(G44-H44)/(D44+E44+F44)</f>
        <v>#DIV/0!</v>
      </c>
      <c r="L44" s="930" t="e">
        <f>1-((G44-H44)/(D44+E44+F44))</f>
        <v>#DIV/0!</v>
      </c>
      <c r="M44" s="940">
        <v>7499.71</v>
      </c>
      <c r="N44" s="988"/>
      <c r="O44" s="989">
        <f>M44-I44</f>
        <v>7499.71</v>
      </c>
      <c r="P44" s="985"/>
      <c r="Q44" s="430"/>
      <c r="R44" s="876"/>
      <c r="S44" s="430"/>
      <c r="T44" s="430"/>
      <c r="U44" s="430"/>
      <c r="V44" s="430"/>
      <c r="W44" s="974"/>
      <c r="X44" s="876"/>
      <c r="Y44" s="430"/>
      <c r="Z44" s="430"/>
      <c r="AA44" s="430"/>
      <c r="AB44" s="430"/>
      <c r="AC44" s="430"/>
      <c r="AD44" s="876"/>
      <c r="AE44" s="430"/>
      <c r="AF44" s="430"/>
      <c r="AG44" s="430"/>
      <c r="AH44" s="430"/>
      <c r="AI44" s="430"/>
      <c r="AJ44" s="876"/>
      <c r="AK44" s="430"/>
      <c r="AL44" s="49"/>
      <c r="AM44" s="974"/>
      <c r="AN44" s="430"/>
      <c r="AO44" s="430"/>
      <c r="AP44" s="876"/>
      <c r="AQ44" s="430"/>
      <c r="AR44" s="430"/>
      <c r="AS44" s="430"/>
      <c r="AT44" s="430"/>
      <c r="AU44" s="430"/>
      <c r="AV44" s="876"/>
      <c r="AW44" s="430"/>
      <c r="AX44" s="430"/>
      <c r="AY44" s="430"/>
      <c r="AZ44" s="430"/>
      <c r="BA44" s="430"/>
      <c r="BB44" s="876"/>
      <c r="BC44" s="974"/>
      <c r="BD44" s="430"/>
      <c r="BE44" s="430"/>
      <c r="BF44" s="430"/>
      <c r="BG44" s="430"/>
      <c r="BH44" s="876"/>
      <c r="BI44" s="430"/>
      <c r="BJ44" s="430"/>
      <c r="BK44" s="430"/>
      <c r="BL44" s="430"/>
      <c r="BM44" s="430"/>
      <c r="BN44" s="876"/>
      <c r="BO44" s="430"/>
      <c r="BP44" s="430"/>
      <c r="BQ44" s="430"/>
      <c r="BR44" s="430"/>
      <c r="BS44" s="430"/>
      <c r="BT44" s="876"/>
      <c r="BU44" s="430"/>
      <c r="BV44" s="430"/>
      <c r="BW44" s="430"/>
      <c r="BX44" s="430"/>
      <c r="BY44" s="975"/>
    </row>
    <row r="45" spans="1:77" ht="5.25" customHeight="1">
      <c r="A45" s="981"/>
      <c r="B45" s="907"/>
      <c r="C45" s="876"/>
      <c r="D45" s="120"/>
      <c r="E45" s="912"/>
      <c r="F45" s="912"/>
      <c r="G45" s="121"/>
      <c r="H45" s="876"/>
      <c r="I45" s="93"/>
      <c r="J45" s="876"/>
      <c r="K45" s="930"/>
      <c r="L45" s="930"/>
      <c r="M45" s="876"/>
      <c r="N45" s="992"/>
      <c r="O45" s="989"/>
      <c r="P45" s="985"/>
      <c r="Q45" s="430"/>
      <c r="R45" s="876"/>
      <c r="S45" s="430"/>
      <c r="T45" s="430"/>
      <c r="U45" s="430"/>
      <c r="V45" s="430"/>
      <c r="W45" s="974"/>
      <c r="X45" s="876"/>
      <c r="Y45" s="430"/>
      <c r="Z45" s="430"/>
      <c r="AA45" s="430"/>
      <c r="AB45" s="430"/>
      <c r="AC45" s="430"/>
      <c r="AD45" s="876"/>
      <c r="AE45" s="430"/>
      <c r="AF45" s="430"/>
      <c r="AG45" s="430"/>
      <c r="AH45" s="430"/>
      <c r="AI45" s="430"/>
      <c r="AJ45" s="876"/>
      <c r="AK45" s="430"/>
      <c r="AL45" s="49"/>
      <c r="AM45" s="974"/>
      <c r="AN45" s="430"/>
      <c r="AO45" s="430"/>
      <c r="AP45" s="876"/>
      <c r="AQ45" s="430"/>
      <c r="AR45" s="430"/>
      <c r="AS45" s="430"/>
      <c r="AT45" s="430"/>
      <c r="AU45" s="430"/>
      <c r="AV45" s="876"/>
      <c r="AW45" s="430"/>
      <c r="AX45" s="430"/>
      <c r="AY45" s="430"/>
      <c r="AZ45" s="430"/>
      <c r="BA45" s="430"/>
      <c r="BB45" s="876"/>
      <c r="BC45" s="974"/>
      <c r="BD45" s="430"/>
      <c r="BE45" s="430"/>
      <c r="BF45" s="430"/>
      <c r="BG45" s="430"/>
      <c r="BH45" s="876"/>
      <c r="BI45" s="430"/>
      <c r="BJ45" s="430"/>
      <c r="BK45" s="430"/>
      <c r="BL45" s="430"/>
      <c r="BM45" s="430"/>
      <c r="BN45" s="876"/>
      <c r="BO45" s="430"/>
      <c r="BP45" s="430"/>
      <c r="BQ45" s="430"/>
      <c r="BR45" s="430"/>
      <c r="BS45" s="430"/>
      <c r="BT45" s="876"/>
      <c r="BU45" s="430"/>
      <c r="BV45" s="430"/>
      <c r="BW45" s="430"/>
      <c r="BX45" s="430"/>
      <c r="BY45" s="975"/>
    </row>
    <row r="46" spans="1:77">
      <c r="A46" s="981"/>
      <c r="B46" s="907"/>
      <c r="C46" s="912" t="s">
        <v>74</v>
      </c>
      <c r="D46" s="876">
        <f>SUM(D43:D44)</f>
        <v>0</v>
      </c>
      <c r="E46" s="993"/>
      <c r="F46" s="993"/>
      <c r="G46" s="876">
        <f>SUM(G43:G44)</f>
        <v>0</v>
      </c>
      <c r="H46" s="785"/>
      <c r="I46" s="93">
        <f>D46-G46</f>
        <v>0</v>
      </c>
      <c r="J46" s="876"/>
      <c r="K46" s="930" t="e">
        <f>(G46-H46)/(D46+E46+F46)</f>
        <v>#DIV/0!</v>
      </c>
      <c r="L46" s="930" t="e">
        <f>1-((G46-H46)/(D46+E46+F46))</f>
        <v>#DIV/0!</v>
      </c>
      <c r="M46" s="876">
        <f>SUM(M43:M44)</f>
        <v>25858.6</v>
      </c>
      <c r="N46" s="988"/>
      <c r="O46" s="81">
        <f>M46-I46</f>
        <v>25858.6</v>
      </c>
      <c r="P46" s="985">
        <f>M46+N46-I46</f>
        <v>25858.6</v>
      </c>
      <c r="Q46" s="430"/>
      <c r="R46" s="876"/>
      <c r="S46" s="430"/>
      <c r="T46" s="430"/>
      <c r="U46" s="430"/>
      <c r="V46" s="430"/>
      <c r="W46" s="974"/>
      <c r="X46" s="876"/>
      <c r="Y46" s="430"/>
      <c r="Z46" s="430"/>
      <c r="AA46" s="430"/>
      <c r="AB46" s="430"/>
      <c r="AC46" s="430"/>
      <c r="AD46" s="876"/>
      <c r="AE46" s="430"/>
      <c r="AF46" s="430"/>
      <c r="AG46" s="430"/>
      <c r="AH46" s="430"/>
      <c r="AI46" s="430"/>
      <c r="AJ46" s="876"/>
      <c r="AK46" s="430"/>
      <c r="AL46" s="49"/>
      <c r="AM46" s="974"/>
      <c r="AN46" s="430"/>
      <c r="AO46" s="430"/>
      <c r="AP46" s="876"/>
      <c r="AQ46" s="430"/>
      <c r="AR46" s="430"/>
      <c r="AS46" s="430"/>
      <c r="AT46" s="430"/>
      <c r="AU46" s="430"/>
      <c r="AV46" s="876"/>
      <c r="AW46" s="430"/>
      <c r="AX46" s="430"/>
      <c r="AY46" s="430"/>
      <c r="AZ46" s="430"/>
      <c r="BA46" s="430"/>
      <c r="BB46" s="876"/>
      <c r="BC46" s="974"/>
      <c r="BD46" s="430"/>
      <c r="BE46" s="430"/>
      <c r="BF46" s="430"/>
      <c r="BG46" s="430"/>
      <c r="BH46" s="876"/>
      <c r="BI46" s="430"/>
      <c r="BJ46" s="430"/>
      <c r="BK46" s="430"/>
      <c r="BL46" s="430"/>
      <c r="BM46" s="430"/>
      <c r="BN46" s="876"/>
      <c r="BO46" s="430"/>
      <c r="BP46" s="430"/>
      <c r="BQ46" s="430"/>
      <c r="BR46" s="430"/>
      <c r="BS46" s="430"/>
      <c r="BT46" s="876"/>
      <c r="BU46" s="430"/>
      <c r="BV46" s="430"/>
      <c r="BW46" s="430"/>
      <c r="BX46" s="430"/>
      <c r="BY46" s="975"/>
    </row>
    <row r="47" spans="1:77">
      <c r="A47" s="981"/>
      <c r="B47" s="907"/>
      <c r="C47" s="912"/>
      <c r="D47" s="876"/>
      <c r="E47" s="912"/>
      <c r="F47" s="912"/>
      <c r="G47" s="876"/>
      <c r="H47" s="876"/>
      <c r="I47" s="93"/>
      <c r="J47" s="876"/>
      <c r="K47" s="932"/>
      <c r="L47" s="876"/>
      <c r="M47" s="876"/>
      <c r="N47" s="984"/>
      <c r="O47" s="81"/>
      <c r="P47" s="985"/>
      <c r="Q47" s="430"/>
      <c r="R47" s="876"/>
      <c r="S47" s="430"/>
      <c r="T47" s="430"/>
      <c r="U47" s="430"/>
      <c r="V47" s="430"/>
      <c r="W47" s="974"/>
      <c r="X47" s="876"/>
      <c r="Y47" s="430"/>
      <c r="Z47" s="430"/>
      <c r="AA47" s="430"/>
      <c r="AB47" s="430"/>
      <c r="AC47" s="430"/>
      <c r="AD47" s="876"/>
      <c r="AE47" s="430"/>
      <c r="AF47" s="430"/>
      <c r="AG47" s="430"/>
      <c r="AH47" s="430"/>
      <c r="AI47" s="430"/>
      <c r="AJ47" s="876"/>
      <c r="AK47" s="430"/>
      <c r="AL47" s="49"/>
      <c r="AM47" s="974"/>
      <c r="AN47" s="430"/>
      <c r="AO47" s="430"/>
      <c r="AP47" s="876"/>
      <c r="AQ47" s="430"/>
      <c r="AR47" s="430"/>
      <c r="AS47" s="430"/>
      <c r="AT47" s="430"/>
      <c r="AU47" s="430"/>
      <c r="AV47" s="876"/>
      <c r="AW47" s="430"/>
      <c r="AX47" s="430"/>
      <c r="AY47" s="430"/>
      <c r="AZ47" s="430"/>
      <c r="BA47" s="430"/>
      <c r="BB47" s="876"/>
      <c r="BC47" s="974"/>
      <c r="BD47" s="430"/>
      <c r="BE47" s="430"/>
      <c r="BF47" s="430"/>
      <c r="BG47" s="430"/>
      <c r="BH47" s="876"/>
      <c r="BI47" s="430"/>
      <c r="BJ47" s="430"/>
      <c r="BK47" s="430"/>
      <c r="BL47" s="430"/>
      <c r="BM47" s="430"/>
      <c r="BN47" s="876"/>
      <c r="BO47" s="430"/>
      <c r="BP47" s="430"/>
      <c r="BQ47" s="430"/>
      <c r="BR47" s="430"/>
      <c r="BS47" s="430"/>
      <c r="BT47" s="876"/>
      <c r="BU47" s="430"/>
      <c r="BV47" s="430"/>
      <c r="BW47" s="430"/>
      <c r="BX47" s="430"/>
      <c r="BY47" s="975"/>
    </row>
    <row r="48" spans="1:77" ht="13.5" thickBot="1">
      <c r="A48" s="986"/>
      <c r="B48" s="950"/>
      <c r="C48" s="73" t="s">
        <v>57</v>
      </c>
      <c r="D48" s="15">
        <f>SUM(D41,D43:D44)</f>
        <v>0</v>
      </c>
      <c r="E48" s="88"/>
      <c r="F48" s="88"/>
      <c r="G48" s="15">
        <f>SUM(G41,G43:G44)</f>
        <v>0</v>
      </c>
      <c r="H48" s="15"/>
      <c r="I48" s="16">
        <f>SUM(I41,I43:I44)</f>
        <v>0</v>
      </c>
      <c r="J48" s="951">
        <f>SUM(J24:J25,J28:J29,J32:J33,J37:J38,J42:J44)</f>
        <v>943839</v>
      </c>
      <c r="K48" s="77" t="e">
        <f>(G48-H48)/(D48+E48+F48)</f>
        <v>#DIV/0!</v>
      </c>
      <c r="L48" s="32" t="e">
        <f>1-((G48-H48)/(D48+E48+F48))</f>
        <v>#DIV/0!</v>
      </c>
      <c r="M48" s="15">
        <f>SUM(M41,M43:M44)</f>
        <v>48906.68</v>
      </c>
      <c r="N48" s="89"/>
      <c r="O48" s="83">
        <f>M48-I48</f>
        <v>48906.68</v>
      </c>
      <c r="P48" s="84">
        <f>M48+N48-I48</f>
        <v>48906.68</v>
      </c>
      <c r="Q48" s="430"/>
      <c r="R48" s="876"/>
      <c r="S48" s="430"/>
      <c r="T48" s="430"/>
      <c r="U48" s="430"/>
      <c r="V48" s="430"/>
      <c r="W48" s="974"/>
      <c r="X48" s="876"/>
      <c r="Y48" s="430"/>
      <c r="Z48" s="430"/>
      <c r="AA48" s="430"/>
      <c r="AB48" s="430"/>
      <c r="AC48" s="430"/>
      <c r="AD48" s="876"/>
      <c r="AE48" s="430"/>
      <c r="AF48" s="430"/>
      <c r="AG48" s="430"/>
      <c r="AH48" s="430"/>
      <c r="AI48" s="430"/>
      <c r="AJ48" s="876"/>
      <c r="AK48" s="430"/>
      <c r="AL48" s="49"/>
      <c r="AM48" s="974"/>
      <c r="AN48" s="430"/>
      <c r="AO48" s="430"/>
      <c r="AP48" s="876"/>
      <c r="AQ48" s="430"/>
      <c r="AR48" s="430"/>
      <c r="AS48" s="430"/>
      <c r="AT48" s="430"/>
      <c r="AU48" s="430"/>
      <c r="AV48" s="876"/>
      <c r="AW48" s="430"/>
      <c r="AX48" s="430"/>
      <c r="AY48" s="430"/>
      <c r="AZ48" s="430"/>
      <c r="BA48" s="430"/>
      <c r="BB48" s="876"/>
      <c r="BC48" s="974"/>
      <c r="BD48" s="430"/>
      <c r="BE48" s="430"/>
      <c r="BF48" s="430"/>
      <c r="BG48" s="430"/>
      <c r="BH48" s="876"/>
      <c r="BI48" s="430"/>
      <c r="BJ48" s="430"/>
      <c r="BK48" s="430"/>
      <c r="BL48" s="430"/>
      <c r="BM48" s="430"/>
      <c r="BN48" s="876"/>
      <c r="BO48" s="430"/>
      <c r="BP48" s="430"/>
      <c r="BQ48" s="430"/>
      <c r="BR48" s="430"/>
      <c r="BS48" s="430"/>
      <c r="BT48" s="876"/>
      <c r="BU48" s="430"/>
      <c r="BV48" s="430"/>
      <c r="BW48" s="430"/>
      <c r="BX48" s="430"/>
      <c r="BY48" s="975"/>
    </row>
    <row r="49" spans="1:183">
      <c r="A49" s="876"/>
      <c r="B49" s="876"/>
      <c r="C49" s="430"/>
      <c r="D49" s="430"/>
      <c r="E49" s="430"/>
      <c r="F49" s="430"/>
      <c r="G49" s="974"/>
      <c r="H49" s="876"/>
      <c r="I49" s="430"/>
      <c r="J49" s="430"/>
      <c r="K49" s="430"/>
      <c r="L49" s="876"/>
      <c r="M49" s="430"/>
      <c r="N49" s="430"/>
      <c r="O49" s="430"/>
      <c r="P49" s="975"/>
      <c r="Q49" s="430"/>
      <c r="R49" s="876"/>
      <c r="S49" s="430"/>
      <c r="T49" s="430"/>
      <c r="U49" s="430"/>
      <c r="V49" s="430"/>
      <c r="W49" s="974"/>
      <c r="X49" s="876"/>
      <c r="Y49" s="430"/>
      <c r="Z49" s="430"/>
      <c r="AA49" s="430"/>
      <c r="AB49" s="430"/>
      <c r="AC49" s="430"/>
      <c r="AD49" s="876"/>
      <c r="AE49" s="430"/>
      <c r="AF49" s="430"/>
      <c r="AG49" s="430"/>
      <c r="AH49" s="430"/>
      <c r="AI49" s="430"/>
      <c r="AJ49" s="876"/>
      <c r="AK49" s="430"/>
      <c r="AL49" s="49"/>
      <c r="AM49" s="974"/>
      <c r="AN49" s="430"/>
      <c r="AO49" s="430"/>
      <c r="AP49" s="876"/>
      <c r="AQ49" s="430"/>
      <c r="AR49" s="430"/>
      <c r="AS49" s="430"/>
      <c r="AT49" s="430"/>
      <c r="AU49" s="430"/>
      <c r="AV49" s="876"/>
      <c r="AW49" s="430"/>
      <c r="AX49" s="430"/>
      <c r="AY49" s="430"/>
      <c r="AZ49" s="430"/>
      <c r="BA49" s="430"/>
      <c r="BB49" s="876"/>
      <c r="BC49" s="974"/>
      <c r="BD49" s="430"/>
      <c r="BE49" s="430"/>
      <c r="BF49" s="430"/>
      <c r="BG49" s="430"/>
      <c r="BH49" s="876"/>
      <c r="BI49" s="430"/>
      <c r="BJ49" s="430"/>
      <c r="BK49" s="430"/>
      <c r="BL49" s="430"/>
      <c r="BM49" s="430"/>
      <c r="BN49" s="876"/>
      <c r="BO49" s="430"/>
      <c r="BP49" s="430"/>
      <c r="BQ49" s="430"/>
      <c r="BR49" s="430"/>
      <c r="BS49" s="430"/>
      <c r="BT49" s="876"/>
      <c r="BU49" s="430"/>
      <c r="BV49" s="430"/>
      <c r="BW49" s="430"/>
      <c r="BX49" s="430"/>
      <c r="BY49" s="975"/>
      <c r="BZ49" s="876"/>
      <c r="CA49" s="430"/>
      <c r="CB49" s="430"/>
      <c r="CC49" s="430"/>
      <c r="CD49" s="430"/>
      <c r="CE49" s="430"/>
      <c r="CF49" s="876"/>
      <c r="CG49" s="876"/>
      <c r="CH49" s="876"/>
      <c r="CI49" s="430"/>
      <c r="CJ49" s="430"/>
      <c r="CK49" s="430"/>
      <c r="CL49" s="430"/>
      <c r="CM49" s="430"/>
      <c r="CN49" s="876"/>
      <c r="CO49" s="430"/>
      <c r="CP49" s="430"/>
      <c r="CQ49" s="430"/>
      <c r="CR49" s="430"/>
      <c r="CS49" s="430"/>
      <c r="CT49" s="876"/>
      <c r="CU49" s="430"/>
      <c r="CV49" s="430"/>
      <c r="CW49" s="430"/>
      <c r="CX49" s="430"/>
      <c r="CY49" s="430"/>
      <c r="CZ49" s="876"/>
      <c r="DA49" s="430"/>
      <c r="DB49" s="430"/>
      <c r="DC49" s="430"/>
      <c r="DD49" s="430"/>
      <c r="DE49" s="430"/>
      <c r="DF49" s="430"/>
      <c r="DG49" s="430"/>
      <c r="DH49" s="430"/>
      <c r="DI49" s="430"/>
      <c r="DJ49" s="430"/>
      <c r="DK49" s="430"/>
      <c r="DL49" s="430"/>
      <c r="DM49" s="430"/>
      <c r="DN49" s="430"/>
      <c r="DO49" s="430"/>
      <c r="DP49" s="430"/>
      <c r="DQ49" s="430"/>
      <c r="DR49" s="430"/>
      <c r="DS49" s="430"/>
      <c r="DT49" s="430"/>
      <c r="DU49" s="430"/>
      <c r="DV49" s="430"/>
      <c r="DW49" s="430"/>
      <c r="DX49" s="430"/>
      <c r="DY49" s="430"/>
      <c r="DZ49" s="430"/>
      <c r="EA49" s="430"/>
      <c r="EB49" s="430"/>
      <c r="EC49" s="430"/>
      <c r="ED49" s="430"/>
      <c r="EE49" s="430"/>
      <c r="EF49" s="430"/>
      <c r="EG49" s="430"/>
      <c r="EH49" s="430"/>
      <c r="EI49" s="430"/>
      <c r="EJ49" s="430"/>
      <c r="EK49" s="430"/>
      <c r="EL49" s="430"/>
      <c r="EM49" s="430"/>
      <c r="EN49" s="430"/>
      <c r="EO49" s="430"/>
      <c r="EP49" s="430"/>
      <c r="EQ49" s="430"/>
      <c r="ER49" s="430"/>
      <c r="ES49" s="430"/>
      <c r="ET49" s="430"/>
      <c r="EU49" s="430"/>
      <c r="EV49" s="430"/>
      <c r="EW49" s="430"/>
      <c r="EX49" s="430"/>
      <c r="EY49" s="430"/>
      <c r="EZ49" s="430"/>
      <c r="FA49" s="430"/>
      <c r="FB49" s="430"/>
      <c r="FC49" s="430"/>
      <c r="FD49" s="430"/>
      <c r="FE49" s="430"/>
      <c r="FF49" s="430"/>
      <c r="FG49" s="430"/>
      <c r="FH49" s="430"/>
      <c r="FI49" s="430"/>
      <c r="FJ49" s="430"/>
      <c r="FK49" s="430"/>
      <c r="FL49" s="430"/>
      <c r="FM49" s="430"/>
      <c r="FN49" s="430"/>
      <c r="FO49" s="430"/>
      <c r="FP49" s="430"/>
      <c r="FQ49" s="430"/>
      <c r="FR49" s="430"/>
      <c r="FS49" s="430"/>
      <c r="FT49" s="430"/>
      <c r="FU49" s="430"/>
      <c r="FV49" s="430"/>
      <c r="FW49" s="430"/>
      <c r="FX49" s="430"/>
      <c r="FY49" s="430"/>
      <c r="FZ49" s="430"/>
      <c r="GA49" s="430"/>
    </row>
    <row r="50" spans="1:183">
      <c r="A50" s="876"/>
      <c r="B50" s="876"/>
      <c r="C50" s="430"/>
      <c r="D50" s="430"/>
      <c r="E50" s="430"/>
      <c r="F50" s="430"/>
      <c r="G50" s="974"/>
      <c r="H50" s="876"/>
      <c r="I50" s="430"/>
      <c r="J50" s="430"/>
      <c r="K50" s="430"/>
      <c r="L50" s="876"/>
      <c r="M50" s="430"/>
      <c r="N50" s="430"/>
      <c r="O50" s="430"/>
      <c r="P50" s="975"/>
      <c r="Q50" s="430"/>
      <c r="R50" s="876"/>
      <c r="S50" s="430"/>
      <c r="T50" s="430"/>
      <c r="U50" s="430"/>
      <c r="V50" s="430"/>
      <c r="W50" s="974"/>
      <c r="X50" s="876"/>
      <c r="Y50" s="430"/>
      <c r="Z50" s="430"/>
      <c r="AA50" s="430"/>
      <c r="AB50" s="430"/>
      <c r="AC50" s="430"/>
      <c r="AD50" s="876"/>
      <c r="AE50" s="430"/>
      <c r="AF50" s="430"/>
      <c r="AG50" s="430"/>
      <c r="AH50" s="430"/>
      <c r="AI50" s="430"/>
      <c r="AJ50" s="876"/>
      <c r="AK50" s="430"/>
      <c r="AL50" s="49"/>
      <c r="AM50" s="974"/>
      <c r="AN50" s="430"/>
      <c r="AO50" s="430"/>
      <c r="AP50" s="876"/>
      <c r="AQ50" s="430"/>
      <c r="AR50" s="430"/>
      <c r="AS50" s="430"/>
      <c r="AT50" s="430"/>
      <c r="AU50" s="430"/>
      <c r="AV50" s="876"/>
      <c r="AW50" s="430"/>
      <c r="AX50" s="430"/>
      <c r="AY50" s="430"/>
      <c r="AZ50" s="430"/>
      <c r="BA50" s="430"/>
      <c r="BB50" s="876"/>
      <c r="BC50" s="974"/>
      <c r="BD50" s="430"/>
      <c r="BE50" s="430"/>
      <c r="BF50" s="430"/>
      <c r="BG50" s="430"/>
      <c r="BH50" s="876"/>
      <c r="BI50" s="430"/>
      <c r="BJ50" s="430"/>
      <c r="BK50" s="430"/>
      <c r="BL50" s="430"/>
      <c r="BM50" s="430"/>
      <c r="BN50" s="876"/>
      <c r="BO50" s="430"/>
      <c r="BP50" s="430"/>
      <c r="BQ50" s="430"/>
      <c r="BR50" s="430"/>
      <c r="BS50" s="430"/>
      <c r="BT50" s="876"/>
      <c r="BU50" s="430"/>
      <c r="BV50" s="430"/>
      <c r="BW50" s="430"/>
      <c r="BX50" s="430"/>
      <c r="BY50" s="975"/>
      <c r="BZ50" s="876"/>
      <c r="CA50" s="430"/>
      <c r="CB50" s="430"/>
      <c r="CC50" s="430"/>
      <c r="CD50" s="430"/>
      <c r="CE50" s="430"/>
      <c r="CF50" s="876"/>
      <c r="CG50" s="876"/>
      <c r="CH50" s="876"/>
      <c r="CI50" s="430"/>
      <c r="CJ50" s="430"/>
      <c r="CK50" s="430"/>
      <c r="CL50" s="430"/>
      <c r="CM50" s="430"/>
      <c r="CN50" s="876"/>
      <c r="CO50" s="430"/>
      <c r="CP50" s="430"/>
      <c r="CQ50" s="430"/>
      <c r="CR50" s="430"/>
      <c r="CS50" s="430"/>
      <c r="CT50" s="876"/>
      <c r="CU50" s="430"/>
      <c r="CV50" s="430"/>
      <c r="CW50" s="430"/>
      <c r="CX50" s="430"/>
      <c r="CY50" s="430"/>
      <c r="CZ50" s="876"/>
      <c r="DA50" s="430"/>
      <c r="DB50" s="430"/>
      <c r="DC50" s="430"/>
      <c r="DD50" s="430"/>
      <c r="DE50" s="430"/>
      <c r="DF50" s="430"/>
      <c r="DG50" s="430"/>
      <c r="DH50" s="430"/>
      <c r="DI50" s="430"/>
      <c r="DJ50" s="430"/>
      <c r="DK50" s="430"/>
      <c r="DL50" s="430"/>
      <c r="DM50" s="430"/>
      <c r="DN50" s="430"/>
      <c r="DO50" s="430"/>
      <c r="DP50" s="430"/>
      <c r="DQ50" s="430"/>
      <c r="DR50" s="430"/>
      <c r="DS50" s="430"/>
      <c r="DT50" s="430"/>
      <c r="DU50" s="430"/>
      <c r="DV50" s="430"/>
      <c r="DW50" s="430"/>
      <c r="DX50" s="430"/>
      <c r="DY50" s="430"/>
      <c r="DZ50" s="430"/>
      <c r="EA50" s="430"/>
      <c r="EB50" s="430"/>
      <c r="EC50" s="430"/>
      <c r="ED50" s="430"/>
      <c r="EE50" s="430"/>
      <c r="EF50" s="430"/>
      <c r="EG50" s="430"/>
      <c r="EH50" s="430"/>
      <c r="EI50" s="430"/>
      <c r="EJ50" s="430"/>
      <c r="EK50" s="430"/>
      <c r="EL50" s="430"/>
      <c r="EM50" s="430"/>
      <c r="EN50" s="430"/>
      <c r="EO50" s="430"/>
      <c r="EP50" s="430"/>
      <c r="EQ50" s="430"/>
      <c r="ER50" s="430"/>
      <c r="ES50" s="430"/>
      <c r="ET50" s="430"/>
      <c r="EU50" s="430"/>
      <c r="EV50" s="430"/>
      <c r="EW50" s="430"/>
      <c r="EX50" s="430"/>
      <c r="EY50" s="430"/>
      <c r="EZ50" s="430"/>
      <c r="FA50" s="430"/>
      <c r="FB50" s="430"/>
      <c r="FC50" s="430"/>
      <c r="FD50" s="430"/>
      <c r="FE50" s="430"/>
      <c r="FF50" s="430"/>
      <c r="FG50" s="430"/>
      <c r="FH50" s="430"/>
      <c r="FI50" s="430"/>
      <c r="FJ50" s="430"/>
      <c r="FK50" s="430"/>
      <c r="FL50" s="430"/>
      <c r="FM50" s="430"/>
      <c r="FN50" s="430"/>
      <c r="FO50" s="430"/>
      <c r="FP50" s="430"/>
      <c r="FQ50" s="430"/>
      <c r="FR50" s="430"/>
      <c r="FS50" s="430"/>
      <c r="FT50" s="430"/>
      <c r="FU50" s="430"/>
      <c r="FV50" s="430"/>
      <c r="FW50" s="430"/>
      <c r="FX50" s="430"/>
      <c r="FY50" s="430"/>
      <c r="FZ50" s="430"/>
      <c r="GA50" s="430"/>
    </row>
    <row r="51" spans="1:183" ht="13.5" thickBot="1">
      <c r="A51" s="430"/>
      <c r="B51" s="876"/>
      <c r="C51" s="65" t="s">
        <v>171</v>
      </c>
      <c r="D51" s="430"/>
      <c r="E51" s="430"/>
      <c r="F51" s="994"/>
      <c r="G51" s="113"/>
      <c r="H51" s="912"/>
      <c r="I51" s="912"/>
      <c r="J51" s="430"/>
      <c r="K51" s="1"/>
      <c r="L51" s="876"/>
      <c r="M51" s="430"/>
      <c r="N51" s="430"/>
      <c r="O51" s="430"/>
      <c r="P51" s="430"/>
      <c r="Q51" s="430"/>
      <c r="R51" s="876"/>
      <c r="S51" s="430"/>
      <c r="T51" s="430"/>
      <c r="U51" s="430"/>
      <c r="V51" s="430"/>
      <c r="W51" s="430"/>
      <c r="X51" s="876"/>
      <c r="Y51" s="430"/>
      <c r="Z51" s="430"/>
      <c r="AA51" s="430"/>
      <c r="AB51" s="430"/>
      <c r="AC51" s="430"/>
      <c r="AD51" s="876"/>
      <c r="AE51" s="430"/>
      <c r="AF51" s="430"/>
      <c r="AG51" s="430"/>
      <c r="AH51" s="430"/>
      <c r="AI51" s="430"/>
      <c r="AJ51" s="876"/>
      <c r="AK51" s="430"/>
      <c r="AL51" s="430"/>
      <c r="AM51" s="430"/>
      <c r="AN51" s="430"/>
      <c r="AO51" s="430"/>
      <c r="AP51" s="876"/>
      <c r="AQ51" s="430"/>
      <c r="AR51" s="430"/>
      <c r="AS51" s="430"/>
      <c r="AT51" s="430"/>
      <c r="AU51" s="430"/>
      <c r="AV51" s="876"/>
      <c r="AW51" s="430"/>
      <c r="AX51" s="430"/>
      <c r="AY51" s="430"/>
      <c r="AZ51" s="430"/>
      <c r="BA51" s="430"/>
      <c r="BB51" s="876"/>
      <c r="BC51" s="430"/>
      <c r="BD51" s="430"/>
      <c r="BE51" s="430"/>
      <c r="BF51" s="430"/>
      <c r="BG51" s="430"/>
      <c r="BH51" s="876"/>
      <c r="BI51" s="430"/>
      <c r="BJ51" s="430"/>
      <c r="BK51" s="430"/>
      <c r="BL51" s="430"/>
      <c r="BM51" s="430"/>
      <c r="BN51" s="876"/>
      <c r="BO51" s="430"/>
      <c r="BP51" s="430"/>
      <c r="BQ51" s="430"/>
      <c r="BR51" s="430"/>
      <c r="BS51" s="430"/>
      <c r="BT51" s="876"/>
      <c r="BU51" s="430"/>
      <c r="BV51" s="430"/>
      <c r="BW51" s="430"/>
      <c r="BX51" s="430"/>
      <c r="BY51" s="430"/>
      <c r="BZ51" s="876"/>
      <c r="CA51" s="430"/>
      <c r="CB51" s="430"/>
      <c r="CC51" s="430"/>
      <c r="CD51" s="430"/>
      <c r="CE51" s="430"/>
      <c r="CF51" s="876"/>
      <c r="CG51" s="876"/>
      <c r="CH51" s="876"/>
      <c r="CI51" s="430"/>
      <c r="CJ51" s="430"/>
      <c r="CK51" s="430"/>
      <c r="CL51" s="430"/>
      <c r="CM51" s="430"/>
      <c r="CN51" s="876"/>
      <c r="CO51" s="430"/>
      <c r="CP51" s="430"/>
      <c r="CQ51" s="430"/>
      <c r="CR51" s="430"/>
      <c r="CS51" s="430"/>
      <c r="CT51" s="876"/>
      <c r="CU51" s="430"/>
      <c r="CV51" s="430"/>
      <c r="CW51" s="430"/>
      <c r="CX51" s="430"/>
      <c r="CY51" s="430"/>
      <c r="CZ51" s="876"/>
      <c r="DA51" s="430"/>
      <c r="DB51" s="430"/>
      <c r="DC51" s="430"/>
      <c r="DD51" s="430"/>
      <c r="DE51" s="430"/>
      <c r="DF51" s="430"/>
      <c r="DG51" s="430"/>
      <c r="DH51" s="430"/>
      <c r="DI51" s="430"/>
      <c r="DJ51" s="430"/>
      <c r="DK51" s="430"/>
      <c r="DL51" s="430"/>
      <c r="DM51" s="430"/>
      <c r="DN51" s="430"/>
      <c r="DO51" s="430"/>
      <c r="DP51" s="430"/>
      <c r="DQ51" s="430"/>
      <c r="DR51" s="430"/>
      <c r="DS51" s="430"/>
      <c r="DT51" s="430"/>
      <c r="DU51" s="430"/>
      <c r="DV51" s="430"/>
      <c r="DW51" s="430"/>
      <c r="DX51" s="430"/>
      <c r="DY51" s="430"/>
      <c r="DZ51" s="430"/>
      <c r="EA51" s="430"/>
      <c r="EB51" s="430"/>
      <c r="EC51" s="430"/>
      <c r="ED51" s="430"/>
      <c r="EE51" s="430"/>
      <c r="EF51" s="430"/>
      <c r="EG51" s="430"/>
      <c r="EH51" s="430"/>
      <c r="EI51" s="430"/>
      <c r="EJ51" s="430"/>
      <c r="EK51" s="430"/>
      <c r="EL51" s="430"/>
      <c r="EM51" s="430"/>
      <c r="EN51" s="430"/>
      <c r="EO51" s="430"/>
      <c r="EP51" s="430"/>
      <c r="EQ51" s="430"/>
      <c r="ER51" s="430"/>
      <c r="ES51" s="430"/>
      <c r="ET51" s="430"/>
      <c r="EU51" s="430"/>
      <c r="EV51" s="430"/>
      <c r="EW51" s="430"/>
      <c r="EX51" s="430"/>
      <c r="EY51" s="430"/>
      <c r="EZ51" s="430"/>
      <c r="FA51" s="430"/>
      <c r="FB51" s="430"/>
      <c r="FC51" s="430"/>
      <c r="FD51" s="430"/>
      <c r="FE51" s="430"/>
      <c r="FF51" s="430"/>
      <c r="FG51" s="430"/>
      <c r="FH51" s="430"/>
      <c r="FI51" s="430"/>
      <c r="FJ51" s="430"/>
      <c r="FK51" s="430"/>
      <c r="FL51" s="430"/>
      <c r="FM51" s="430"/>
      <c r="FN51" s="430"/>
      <c r="FO51" s="430"/>
      <c r="FP51" s="430"/>
      <c r="FQ51" s="430"/>
      <c r="FR51" s="430"/>
      <c r="FS51" s="430"/>
      <c r="FT51" s="430"/>
      <c r="FU51" s="430"/>
      <c r="FV51" s="430"/>
      <c r="FW51" s="430"/>
      <c r="FX51" s="430"/>
      <c r="FY51" s="430"/>
      <c r="FZ51" s="430"/>
      <c r="GA51" s="430"/>
    </row>
    <row r="52" spans="1:183" ht="13.5" thickBot="1">
      <c r="A52" s="729" t="s">
        <v>172</v>
      </c>
      <c r="B52" s="730"/>
      <c r="C52" s="730"/>
      <c r="D52" s="730"/>
      <c r="E52" s="730"/>
      <c r="F52" s="730"/>
      <c r="G52" s="730"/>
      <c r="H52" s="730"/>
      <c r="I52" s="730"/>
      <c r="J52" s="730"/>
      <c r="K52" s="730"/>
      <c r="L52" s="730"/>
      <c r="M52" s="730"/>
      <c r="N52" s="730"/>
      <c r="O52" s="730"/>
      <c r="P52" s="731"/>
      <c r="Q52" s="732" t="s">
        <v>173</v>
      </c>
      <c r="R52" s="733"/>
      <c r="S52" s="733"/>
      <c r="T52" s="733"/>
      <c r="U52" s="733"/>
      <c r="V52" s="733"/>
      <c r="W52" s="733"/>
      <c r="X52" s="733"/>
      <c r="Y52" s="733"/>
      <c r="Z52" s="733"/>
      <c r="AA52" s="733"/>
      <c r="AB52" s="733"/>
      <c r="AC52" s="733"/>
      <c r="AD52" s="733"/>
      <c r="AE52" s="733"/>
      <c r="AF52" s="734"/>
      <c r="AG52" s="738" t="s">
        <v>174</v>
      </c>
      <c r="AH52" s="739"/>
      <c r="AI52" s="739"/>
      <c r="AJ52" s="739"/>
      <c r="AK52" s="739"/>
      <c r="AL52" s="739"/>
      <c r="AM52" s="739"/>
      <c r="AN52" s="739"/>
      <c r="AO52" s="739"/>
      <c r="AP52" s="739"/>
      <c r="AQ52" s="739"/>
      <c r="AR52" s="739"/>
      <c r="AS52" s="739"/>
      <c r="AT52" s="739"/>
      <c r="AU52" s="739"/>
      <c r="AV52" s="740"/>
      <c r="AW52" s="742" t="s">
        <v>175</v>
      </c>
      <c r="AX52" s="743"/>
      <c r="AY52" s="743"/>
      <c r="AZ52" s="743"/>
      <c r="BA52" s="743"/>
      <c r="BB52" s="743"/>
      <c r="BC52" s="743"/>
      <c r="BD52" s="743"/>
      <c r="BE52" s="743"/>
      <c r="BF52" s="743"/>
      <c r="BG52" s="743"/>
      <c r="BH52" s="743"/>
      <c r="BI52" s="743"/>
      <c r="BJ52" s="743"/>
      <c r="BK52" s="744"/>
      <c r="BL52" s="745" t="s">
        <v>176</v>
      </c>
      <c r="BM52" s="746"/>
      <c r="BN52" s="746"/>
      <c r="BO52" s="746"/>
      <c r="BP52" s="746"/>
      <c r="BQ52" s="746"/>
      <c r="BR52" s="746"/>
      <c r="BS52" s="746"/>
      <c r="BT52" s="746"/>
      <c r="BU52" s="746"/>
      <c r="BV52" s="746"/>
      <c r="BW52" s="746"/>
      <c r="BX52" s="746"/>
      <c r="BY52" s="746"/>
      <c r="BZ52" s="747"/>
      <c r="CA52" s="748" t="s">
        <v>177</v>
      </c>
      <c r="CB52" s="749"/>
      <c r="CC52" s="749"/>
      <c r="CD52" s="749"/>
      <c r="CE52" s="749"/>
      <c r="CF52" s="749"/>
      <c r="CG52" s="749"/>
      <c r="CH52" s="749"/>
      <c r="CI52" s="749"/>
      <c r="CJ52" s="749"/>
      <c r="CK52" s="749"/>
      <c r="CL52" s="749"/>
      <c r="CM52" s="749"/>
      <c r="CN52" s="749"/>
      <c r="CO52" s="750"/>
      <c r="CP52" s="751" t="s">
        <v>178</v>
      </c>
      <c r="CQ52" s="752"/>
      <c r="CR52" s="752"/>
      <c r="CS52" s="752"/>
      <c r="CT52" s="752"/>
      <c r="CU52" s="752"/>
      <c r="CV52" s="752"/>
      <c r="CW52" s="752"/>
      <c r="CX52" s="752"/>
      <c r="CY52" s="752"/>
      <c r="CZ52" s="752"/>
      <c r="DA52" s="752"/>
      <c r="DB52" s="752"/>
      <c r="DC52" s="752"/>
      <c r="DD52" s="753"/>
      <c r="DE52" s="721" t="s">
        <v>179</v>
      </c>
      <c r="DF52" s="722"/>
      <c r="DG52" s="722"/>
      <c r="DH52" s="722"/>
      <c r="DI52" s="722"/>
      <c r="DJ52" s="722"/>
      <c r="DK52" s="722"/>
      <c r="DL52" s="722"/>
      <c r="DM52" s="722"/>
      <c r="DN52" s="722"/>
      <c r="DO52" s="722"/>
      <c r="DP52" s="722"/>
      <c r="DQ52" s="722"/>
      <c r="DR52" s="722"/>
      <c r="DS52" s="723"/>
      <c r="DT52" s="758" t="s">
        <v>180</v>
      </c>
      <c r="DU52" s="759"/>
      <c r="DV52" s="759"/>
      <c r="DW52" s="759"/>
      <c r="DX52" s="759"/>
      <c r="DY52" s="759"/>
      <c r="DZ52" s="759"/>
      <c r="EA52" s="759"/>
      <c r="EB52" s="759"/>
      <c r="EC52" s="759"/>
      <c r="ED52" s="759"/>
      <c r="EE52" s="759"/>
      <c r="EF52" s="759"/>
      <c r="EG52" s="759"/>
      <c r="EH52" s="760"/>
      <c r="EI52" s="761" t="s">
        <v>181</v>
      </c>
      <c r="EJ52" s="762"/>
      <c r="EK52" s="762"/>
      <c r="EL52" s="762"/>
      <c r="EM52" s="762"/>
      <c r="EN52" s="762"/>
      <c r="EO52" s="762"/>
      <c r="EP52" s="762"/>
      <c r="EQ52" s="762"/>
      <c r="ER52" s="762"/>
      <c r="ES52" s="762"/>
      <c r="ET52" s="762"/>
      <c r="EU52" s="762"/>
      <c r="EV52" s="762"/>
      <c r="EW52" s="763"/>
      <c r="EX52" s="764" t="s">
        <v>182</v>
      </c>
      <c r="EY52" s="765"/>
      <c r="EZ52" s="765"/>
      <c r="FA52" s="765"/>
      <c r="FB52" s="765"/>
      <c r="FC52" s="765"/>
      <c r="FD52" s="765"/>
      <c r="FE52" s="765"/>
      <c r="FF52" s="765"/>
      <c r="FG52" s="765"/>
      <c r="FH52" s="765"/>
      <c r="FI52" s="765"/>
      <c r="FJ52" s="765"/>
      <c r="FK52" s="765"/>
      <c r="FL52" s="766"/>
      <c r="FM52" s="755" t="s">
        <v>183</v>
      </c>
      <c r="FN52" s="756"/>
      <c r="FO52" s="756"/>
      <c r="FP52" s="756"/>
      <c r="FQ52" s="756"/>
      <c r="FR52" s="756"/>
      <c r="FS52" s="756"/>
      <c r="FT52" s="756"/>
      <c r="FU52" s="756"/>
      <c r="FV52" s="756"/>
      <c r="FW52" s="756"/>
      <c r="FX52" s="756"/>
      <c r="FY52" s="756"/>
      <c r="FZ52" s="756"/>
      <c r="GA52" s="757"/>
    </row>
    <row r="53" spans="1:183" s="115" customFormat="1" ht="29.25" customHeight="1" thickBot="1">
      <c r="A53" s="995"/>
      <c r="B53" s="996"/>
      <c r="C53" s="997" t="s">
        <v>130</v>
      </c>
      <c r="D53" s="997" t="s">
        <v>131</v>
      </c>
      <c r="E53" s="997" t="s">
        <v>132</v>
      </c>
      <c r="F53" s="997" t="s">
        <v>133</v>
      </c>
      <c r="G53" s="998" t="s">
        <v>134</v>
      </c>
      <c r="H53" s="998" t="s">
        <v>135</v>
      </c>
      <c r="I53" s="114" t="s">
        <v>136</v>
      </c>
      <c r="J53" s="999" t="s">
        <v>137</v>
      </c>
      <c r="K53" s="998" t="s">
        <v>138</v>
      </c>
      <c r="L53" s="114" t="s">
        <v>139</v>
      </c>
      <c r="M53" s="997" t="s">
        <v>140</v>
      </c>
      <c r="N53" s="997" t="s">
        <v>141</v>
      </c>
      <c r="O53" s="1000" t="s">
        <v>142</v>
      </c>
      <c r="P53" s="1001" t="s">
        <v>143</v>
      </c>
      <c r="Q53" s="1002"/>
      <c r="R53" s="1002"/>
      <c r="S53" s="997" t="s">
        <v>130</v>
      </c>
      <c r="T53" s="997" t="s">
        <v>131</v>
      </c>
      <c r="U53" s="997" t="s">
        <v>132</v>
      </c>
      <c r="V53" s="997" t="s">
        <v>133</v>
      </c>
      <c r="W53" s="998" t="s">
        <v>134</v>
      </c>
      <c r="X53" s="998" t="s">
        <v>135</v>
      </c>
      <c r="Y53" s="114" t="s">
        <v>136</v>
      </c>
      <c r="Z53" s="999" t="s">
        <v>137</v>
      </c>
      <c r="AA53" s="998" t="s">
        <v>138</v>
      </c>
      <c r="AB53" s="114" t="s">
        <v>139</v>
      </c>
      <c r="AC53" s="997" t="s">
        <v>140</v>
      </c>
      <c r="AD53" s="997" t="s">
        <v>141</v>
      </c>
      <c r="AE53" s="1000" t="s">
        <v>142</v>
      </c>
      <c r="AF53" s="1001" t="s">
        <v>143</v>
      </c>
      <c r="AG53" s="888"/>
      <c r="AH53" s="998"/>
      <c r="AI53" s="997" t="s">
        <v>130</v>
      </c>
      <c r="AJ53" s="997" t="s">
        <v>131</v>
      </c>
      <c r="AK53" s="997" t="s">
        <v>132</v>
      </c>
      <c r="AL53" s="879" t="s">
        <v>133</v>
      </c>
      <c r="AM53" s="998" t="s">
        <v>134</v>
      </c>
      <c r="AN53" s="998" t="s">
        <v>135</v>
      </c>
      <c r="AO53" s="114" t="s">
        <v>136</v>
      </c>
      <c r="AP53" s="999" t="s">
        <v>137</v>
      </c>
      <c r="AQ53" s="998" t="s">
        <v>138</v>
      </c>
      <c r="AR53" s="114" t="s">
        <v>139</v>
      </c>
      <c r="AS53" s="997" t="s">
        <v>140</v>
      </c>
      <c r="AT53" s="997" t="s">
        <v>141</v>
      </c>
      <c r="AU53" s="1000" t="s">
        <v>142</v>
      </c>
      <c r="AV53" s="1001" t="s">
        <v>143</v>
      </c>
      <c r="AW53" s="1003"/>
      <c r="AX53" s="998" t="s">
        <v>184</v>
      </c>
      <c r="AY53" s="997" t="s">
        <v>130</v>
      </c>
      <c r="AZ53" s="997" t="s">
        <v>131</v>
      </c>
      <c r="BA53" s="997" t="s">
        <v>132</v>
      </c>
      <c r="BB53" s="879" t="s">
        <v>133</v>
      </c>
      <c r="BC53" s="998" t="s">
        <v>134</v>
      </c>
      <c r="BD53" s="998" t="s">
        <v>135</v>
      </c>
      <c r="BE53" s="114" t="s">
        <v>136</v>
      </c>
      <c r="BF53" s="998" t="s">
        <v>138</v>
      </c>
      <c r="BG53" s="114" t="s">
        <v>139</v>
      </c>
      <c r="BH53" s="997" t="s">
        <v>140</v>
      </c>
      <c r="BI53" s="997" t="s">
        <v>141</v>
      </c>
      <c r="BJ53" s="1000" t="s">
        <v>142</v>
      </c>
      <c r="BK53" s="1001" t="s">
        <v>143</v>
      </c>
      <c r="BL53" s="1004"/>
      <c r="BM53" s="1005"/>
      <c r="BN53" s="997" t="s">
        <v>130</v>
      </c>
      <c r="BO53" s="997" t="s">
        <v>131</v>
      </c>
      <c r="BP53" s="997" t="s">
        <v>132</v>
      </c>
      <c r="BQ53" s="879" t="s">
        <v>133</v>
      </c>
      <c r="BR53" s="998" t="s">
        <v>134</v>
      </c>
      <c r="BS53" s="998" t="s">
        <v>135</v>
      </c>
      <c r="BT53" s="114" t="s">
        <v>136</v>
      </c>
      <c r="BU53" s="998" t="s">
        <v>138</v>
      </c>
      <c r="BV53" s="114" t="s">
        <v>139</v>
      </c>
      <c r="BW53" s="997" t="s">
        <v>140</v>
      </c>
      <c r="BX53" s="997" t="s">
        <v>141</v>
      </c>
      <c r="BY53" s="1000" t="s">
        <v>142</v>
      </c>
      <c r="BZ53" s="1001" t="s">
        <v>143</v>
      </c>
      <c r="CA53" s="1006"/>
      <c r="CB53" s="1007"/>
      <c r="CC53" s="997" t="s">
        <v>130</v>
      </c>
      <c r="CD53" s="997" t="s">
        <v>131</v>
      </c>
      <c r="CE53" s="997" t="s">
        <v>132</v>
      </c>
      <c r="CF53" s="879" t="s">
        <v>133</v>
      </c>
      <c r="CG53" s="998" t="s">
        <v>134</v>
      </c>
      <c r="CH53" s="998" t="s">
        <v>135</v>
      </c>
      <c r="CI53" s="114" t="s">
        <v>136</v>
      </c>
      <c r="CJ53" s="998" t="s">
        <v>138</v>
      </c>
      <c r="CK53" s="114" t="s">
        <v>139</v>
      </c>
      <c r="CL53" s="997" t="s">
        <v>140</v>
      </c>
      <c r="CM53" s="997" t="s">
        <v>141</v>
      </c>
      <c r="CN53" s="1000" t="s">
        <v>142</v>
      </c>
      <c r="CO53" s="1001" t="s">
        <v>143</v>
      </c>
      <c r="CP53" s="1008"/>
      <c r="CQ53" s="1009"/>
      <c r="CR53" s="997" t="s">
        <v>130</v>
      </c>
      <c r="CS53" s="997" t="s">
        <v>131</v>
      </c>
      <c r="CT53" s="997" t="s">
        <v>132</v>
      </c>
      <c r="CU53" s="879" t="s">
        <v>133</v>
      </c>
      <c r="CV53" s="998" t="s">
        <v>134</v>
      </c>
      <c r="CW53" s="998" t="s">
        <v>135</v>
      </c>
      <c r="CX53" s="114" t="s">
        <v>136</v>
      </c>
      <c r="CY53" s="998" t="s">
        <v>138</v>
      </c>
      <c r="CZ53" s="114" t="s">
        <v>139</v>
      </c>
      <c r="DA53" s="997" t="s">
        <v>140</v>
      </c>
      <c r="DB53" s="997" t="s">
        <v>141</v>
      </c>
      <c r="DC53" s="1000" t="s">
        <v>142</v>
      </c>
      <c r="DD53" s="1001" t="s">
        <v>143</v>
      </c>
      <c r="DE53" s="1010"/>
      <c r="DF53" s="1010"/>
      <c r="DG53" s="997" t="s">
        <v>130</v>
      </c>
      <c r="DH53" s="997" t="s">
        <v>131</v>
      </c>
      <c r="DI53" s="997" t="s">
        <v>132</v>
      </c>
      <c r="DJ53" s="879" t="s">
        <v>133</v>
      </c>
      <c r="DK53" s="998" t="s">
        <v>134</v>
      </c>
      <c r="DL53" s="998" t="s">
        <v>135</v>
      </c>
      <c r="DM53" s="114" t="s">
        <v>136</v>
      </c>
      <c r="DN53" s="998" t="s">
        <v>138</v>
      </c>
      <c r="DO53" s="114" t="s">
        <v>139</v>
      </c>
      <c r="DP53" s="997" t="s">
        <v>140</v>
      </c>
      <c r="DQ53" s="997" t="s">
        <v>141</v>
      </c>
      <c r="DR53" s="1000" t="s">
        <v>142</v>
      </c>
      <c r="DS53" s="1001" t="s">
        <v>143</v>
      </c>
      <c r="DT53" s="1011"/>
      <c r="DU53" s="1011"/>
      <c r="DV53" s="997" t="s">
        <v>130</v>
      </c>
      <c r="DW53" s="997" t="s">
        <v>131</v>
      </c>
      <c r="DX53" s="997" t="s">
        <v>132</v>
      </c>
      <c r="DY53" s="879" t="s">
        <v>133</v>
      </c>
      <c r="DZ53" s="998" t="s">
        <v>134</v>
      </c>
      <c r="EA53" s="998" t="s">
        <v>135</v>
      </c>
      <c r="EB53" s="114" t="s">
        <v>136</v>
      </c>
      <c r="EC53" s="998" t="s">
        <v>138</v>
      </c>
      <c r="ED53" s="114" t="s">
        <v>139</v>
      </c>
      <c r="EE53" s="997" t="s">
        <v>140</v>
      </c>
      <c r="EF53" s="997" t="s">
        <v>141</v>
      </c>
      <c r="EG53" s="1000" t="s">
        <v>142</v>
      </c>
      <c r="EH53" s="1001" t="s">
        <v>143</v>
      </c>
      <c r="EI53" s="1012"/>
      <c r="EJ53" s="1013"/>
      <c r="EK53" s="997" t="s">
        <v>130</v>
      </c>
      <c r="EL53" s="997" t="s">
        <v>131</v>
      </c>
      <c r="EM53" s="997" t="s">
        <v>132</v>
      </c>
      <c r="EN53" s="879" t="s">
        <v>133</v>
      </c>
      <c r="EO53" s="998" t="s">
        <v>134</v>
      </c>
      <c r="EP53" s="998" t="s">
        <v>135</v>
      </c>
      <c r="EQ53" s="114" t="s">
        <v>136</v>
      </c>
      <c r="ER53" s="998" t="s">
        <v>138</v>
      </c>
      <c r="ES53" s="114" t="s">
        <v>139</v>
      </c>
      <c r="ET53" s="997" t="s">
        <v>140</v>
      </c>
      <c r="EU53" s="997" t="s">
        <v>141</v>
      </c>
      <c r="EV53" s="1000" t="s">
        <v>142</v>
      </c>
      <c r="EW53" s="1001" t="s">
        <v>143</v>
      </c>
      <c r="EX53" s="1014"/>
      <c r="EY53" s="1014"/>
      <c r="EZ53" s="997" t="s">
        <v>130</v>
      </c>
      <c r="FA53" s="997" t="s">
        <v>131</v>
      </c>
      <c r="FB53" s="997" t="s">
        <v>132</v>
      </c>
      <c r="FC53" s="879" t="s">
        <v>133</v>
      </c>
      <c r="FD53" s="998" t="s">
        <v>134</v>
      </c>
      <c r="FE53" s="998" t="s">
        <v>135</v>
      </c>
      <c r="FF53" s="114" t="s">
        <v>136</v>
      </c>
      <c r="FG53" s="998" t="s">
        <v>138</v>
      </c>
      <c r="FH53" s="114" t="s">
        <v>139</v>
      </c>
      <c r="FI53" s="997" t="s">
        <v>140</v>
      </c>
      <c r="FJ53" s="997" t="s">
        <v>141</v>
      </c>
      <c r="FK53" s="1000" t="s">
        <v>142</v>
      </c>
      <c r="FL53" s="1001" t="s">
        <v>143</v>
      </c>
      <c r="FM53" s="1015"/>
      <c r="FN53" s="1015"/>
      <c r="FO53" s="997" t="s">
        <v>130</v>
      </c>
      <c r="FP53" s="997" t="s">
        <v>131</v>
      </c>
      <c r="FQ53" s="997" t="s">
        <v>132</v>
      </c>
      <c r="FR53" s="879" t="s">
        <v>133</v>
      </c>
      <c r="FS53" s="998" t="s">
        <v>134</v>
      </c>
      <c r="FT53" s="998" t="s">
        <v>135</v>
      </c>
      <c r="FU53" s="114" t="s">
        <v>136</v>
      </c>
      <c r="FV53" s="998" t="s">
        <v>138</v>
      </c>
      <c r="FW53" s="114" t="s">
        <v>139</v>
      </c>
      <c r="FX53" s="997" t="s">
        <v>140</v>
      </c>
      <c r="FY53" s="997" t="s">
        <v>141</v>
      </c>
      <c r="FZ53" s="1000" t="s">
        <v>142</v>
      </c>
      <c r="GA53" s="1001" t="s">
        <v>143</v>
      </c>
    </row>
    <row r="54" spans="1:183">
      <c r="A54" s="906"/>
      <c r="B54" s="876">
        <v>1</v>
      </c>
      <c r="C54" s="3" t="s">
        <v>146</v>
      </c>
      <c r="D54" s="22">
        <f>SUM($D$5:D5)</f>
        <v>103250.98333333331</v>
      </c>
      <c r="E54" s="22">
        <f>SUM(E5:E5)</f>
        <v>350.73333333333335</v>
      </c>
      <c r="F54" s="58">
        <f t="shared" ref="F54:J56" si="37">F5</f>
        <v>888.3</v>
      </c>
      <c r="G54" s="38">
        <f t="shared" si="37"/>
        <v>941</v>
      </c>
      <c r="H54" s="116">
        <f t="shared" si="37"/>
        <v>0</v>
      </c>
      <c r="I54" s="21">
        <f t="shared" si="37"/>
        <v>103549.01666666666</v>
      </c>
      <c r="J54" s="69">
        <f t="shared" si="37"/>
        <v>103398</v>
      </c>
      <c r="K54" s="99">
        <f>(G54-H54)/(D54+E54+F54)</f>
        <v>9.0056450369022517E-3</v>
      </c>
      <c r="L54" s="33">
        <f>1-((G54-H54)/(D54+E54+F54))</f>
        <v>0.99099435496309773</v>
      </c>
      <c r="M54" s="22">
        <f t="shared" ref="M54:N56" si="38">M5</f>
        <v>104815</v>
      </c>
      <c r="N54" s="22">
        <f t="shared" si="38"/>
        <v>848</v>
      </c>
      <c r="O54" s="34">
        <f>SUM(O55:O56)</f>
        <v>1265.9833333333445</v>
      </c>
      <c r="P54" s="35">
        <f>M5+N5-I5</f>
        <v>2113.9833333333372</v>
      </c>
      <c r="Q54" s="909"/>
      <c r="R54" s="932">
        <v>1</v>
      </c>
      <c r="S54" s="3" t="s">
        <v>146</v>
      </c>
      <c r="T54" s="22">
        <f t="shared" ref="T54:X56" si="39">T5+D5</f>
        <v>206944.54999999996</v>
      </c>
      <c r="U54" s="22">
        <f t="shared" si="39"/>
        <v>704.55000000000007</v>
      </c>
      <c r="V54" s="23">
        <f t="shared" si="39"/>
        <v>1832.6</v>
      </c>
      <c r="W54" s="22">
        <f t="shared" si="39"/>
        <v>1880</v>
      </c>
      <c r="X54" s="116">
        <f t="shared" si="39"/>
        <v>0</v>
      </c>
      <c r="Y54" s="21">
        <f t="shared" ref="Y54:Z56" si="40">Y5+I5</f>
        <v>207601.69999999998</v>
      </c>
      <c r="Z54" s="69">
        <f t="shared" si="40"/>
        <v>207446</v>
      </c>
      <c r="AA54" s="99">
        <f t="shared" ref="AA54:AA75" si="41">(W54-X54)/(T54+U54+V54)</f>
        <v>8.9745309494815087E-3</v>
      </c>
      <c r="AB54" s="33">
        <f t="shared" ref="AB54:AB75" si="42">1-((W54-X54)/(T54+U54+V54))</f>
        <v>0.99102546905051847</v>
      </c>
      <c r="AC54" s="22">
        <f t="shared" ref="AC54:AD56" si="43">AC5+M5</f>
        <v>210076</v>
      </c>
      <c r="AD54" s="22">
        <f t="shared" si="43"/>
        <v>1696</v>
      </c>
      <c r="AE54" s="34">
        <f>SUM(AE55:AE56)</f>
        <v>2474.3000000000175</v>
      </c>
      <c r="AF54" s="35">
        <f>AC5+AD5-Y5+M5+N5-I5</f>
        <v>4170.3000000000175</v>
      </c>
      <c r="AG54" s="911"/>
      <c r="AH54" s="876">
        <v>1</v>
      </c>
      <c r="AI54" s="3" t="s">
        <v>146</v>
      </c>
      <c r="AJ54" s="22">
        <f t="shared" ref="AJ54:AN56" si="44">AJ5+T5+D5</f>
        <v>304774.3833333333</v>
      </c>
      <c r="AK54" s="22">
        <f t="shared" si="44"/>
        <v>789.13333333333344</v>
      </c>
      <c r="AL54" s="23">
        <f t="shared" si="44"/>
        <v>2336.3000000000002</v>
      </c>
      <c r="AM54" s="22">
        <f t="shared" si="44"/>
        <v>2781</v>
      </c>
      <c r="AN54" s="116">
        <f t="shared" si="44"/>
        <v>0</v>
      </c>
      <c r="AO54" s="21">
        <f t="shared" ref="AO54:AP56" si="45">AO5+Y5+I5</f>
        <v>305118.81666666665</v>
      </c>
      <c r="AP54" s="69">
        <f t="shared" si="45"/>
        <v>207446</v>
      </c>
      <c r="AQ54" s="99">
        <f t="shared" ref="AQ54:AQ75" si="46">(AM54-AN54)/(AJ54+AK54+AL54)</f>
        <v>9.0321586745558853E-3</v>
      </c>
      <c r="AR54" s="33">
        <f t="shared" ref="AR54:AR75" si="47">1-((AM54-AN54)/(AJ54+AK54+AL54))</f>
        <v>0.99096784132544413</v>
      </c>
      <c r="AS54" s="22">
        <f t="shared" ref="AS54:AT56" si="48">AS5+AC5+M5</f>
        <v>309064</v>
      </c>
      <c r="AT54" s="22">
        <f t="shared" si="48"/>
        <v>2544</v>
      </c>
      <c r="AU54" s="34">
        <f>SUM(AU55:AU56)</f>
        <v>3945.1833333333852</v>
      </c>
      <c r="AV54" s="35">
        <f>AS5+AT5-AO5+AC5+AD5-Y5+M5+N5-I5</f>
        <v>6489.183333333378</v>
      </c>
      <c r="AW54" s="913"/>
      <c r="AX54" s="876">
        <v>1</v>
      </c>
      <c r="AY54" s="3" t="s">
        <v>146</v>
      </c>
      <c r="AZ54" s="22">
        <f t="shared" ref="AZ54:BE56" si="49">AZ5+AJ5+T5+D5</f>
        <v>410315.41666666651</v>
      </c>
      <c r="BA54" s="22">
        <f t="shared" si="49"/>
        <v>963.71666666666681</v>
      </c>
      <c r="BB54" s="23">
        <f t="shared" si="49"/>
        <v>2361.3000000000002</v>
      </c>
      <c r="BC54" s="22">
        <f t="shared" si="49"/>
        <v>3774</v>
      </c>
      <c r="BD54" s="116">
        <f t="shared" si="49"/>
        <v>0</v>
      </c>
      <c r="BE54" s="21">
        <f t="shared" si="49"/>
        <v>409866.43333333329</v>
      </c>
      <c r="BF54" s="99">
        <f t="shared" ref="BF54:BF75" si="50">(BC54-BD54)/(AZ54+BA54+BB54)</f>
        <v>9.1238662758065352E-3</v>
      </c>
      <c r="BG54" s="33">
        <f t="shared" ref="BG54:BG75" si="51">1-((BC54-BD54)/(AZ54+BA54+BB54))</f>
        <v>0.99087613372419348</v>
      </c>
      <c r="BH54" s="22">
        <f>BH5+AS5+AC5+M5</f>
        <v>415377</v>
      </c>
      <c r="BI54" s="22">
        <f>BI5+AT5+AD5+N5</f>
        <v>3392</v>
      </c>
      <c r="BJ54" s="34">
        <f>SUM(BJ55:BJ56)</f>
        <v>5510.5666666667457</v>
      </c>
      <c r="BK54" s="35">
        <f>M5+N5-I5+BH5+BI5-BE5+AS5+AT5-AO5+AC5+AD5-Y5</f>
        <v>8902.5666666667385</v>
      </c>
      <c r="BL54" s="914"/>
      <c r="BM54" s="932">
        <v>1</v>
      </c>
      <c r="BN54" s="3" t="s">
        <v>146</v>
      </c>
      <c r="BO54" s="22">
        <f>$BO5+$AZ5+$AJ5+$T5+$D5</f>
        <v>508567.93333333323</v>
      </c>
      <c r="BP54" s="22">
        <f>$BP5+$BA5+$AK5+$U5+$E5</f>
        <v>963.71666666666681</v>
      </c>
      <c r="BQ54" s="23">
        <f>$BQ5+$BB5+$AL5+$V5+$F5</f>
        <v>2361.3000000000002</v>
      </c>
      <c r="BR54" s="22">
        <f>$BR5+$BC5+$AM5+$W5+$G5</f>
        <v>3774</v>
      </c>
      <c r="BS54" s="785">
        <f>$BS5+$BD5+$AN5+$X5+$H5</f>
        <v>0</v>
      </c>
      <c r="BT54" s="21">
        <f>$BT5+$BE5+$AO5+$Y5+$I5</f>
        <v>508118.9499999999</v>
      </c>
      <c r="BU54" s="99">
        <f t="shared" ref="BU54:BU75" si="52">(BR54-BS54)/(BO54+BP54+BQ54)</f>
        <v>7.3726352355507159E-3</v>
      </c>
      <c r="BV54" s="33">
        <f t="shared" ref="BV54:BV75" si="53">1-((BR54-BS54)/(BO54+BP54+BQ54))</f>
        <v>0.99262736476444924</v>
      </c>
      <c r="BW54" s="22">
        <f>$BW5+$BH5+$AS5+$AC5+$M5</f>
        <v>514360.66666666669</v>
      </c>
      <c r="BX54" s="22">
        <f>$BX5+$BI5+$AT5+$AD5+$N5</f>
        <v>4240</v>
      </c>
      <c r="BY54" s="34">
        <f>SUM(BY55:BY56)</f>
        <v>6241.7166666667545</v>
      </c>
      <c r="BZ54" s="35">
        <f>$AC5+$AD5-$Y5+$BW5+$BX5-$BT5+$BH5+$BI5-$BE5+$AS5+$AT5-$AO5+$M5+$N5-$I5</f>
        <v>10481.716666666747</v>
      </c>
      <c r="CA54" s="915"/>
      <c r="CB54" s="876">
        <v>1</v>
      </c>
      <c r="CC54" s="3" t="s">
        <v>146</v>
      </c>
      <c r="CD54" s="22">
        <f>$BO5+$AZ5+$AJ5+$T5+$D5+$CD5</f>
        <v>610171.06666666653</v>
      </c>
      <c r="CE54" s="22">
        <f>$BP5+$BA5+$AK5+$U5+$E5+$CE5</f>
        <v>963.71666666666681</v>
      </c>
      <c r="CF54" s="23">
        <f>$BQ5+$BB5+$AL5+$V5+$F5+$CF5</f>
        <v>2361.3000000000002</v>
      </c>
      <c r="CG54" s="22">
        <f>$BR5+$BC5+$AM5+$W5+$G5+$CG5</f>
        <v>3774</v>
      </c>
      <c r="CH54" s="785">
        <f>$BS5+$BD5+$AN5+$X5+$H5+$CH5</f>
        <v>0</v>
      </c>
      <c r="CI54" s="21">
        <f>$BT5+$BE5+$AO5+$Y5+$I5+$CI5</f>
        <v>609722.08333333326</v>
      </c>
      <c r="CJ54" s="99">
        <f t="shared" ref="CJ54:CJ75" si="54">(CG54-CH54)/(CD54+CE54+CF54)</f>
        <v>6.1516285148791369E-3</v>
      </c>
      <c r="CK54" s="33">
        <f t="shared" ref="CK54:CK75" si="55">1-((CG54-CH54)/(CD54+CE54+CF54))</f>
        <v>0.99384837148512084</v>
      </c>
      <c r="CL54" s="22">
        <f>$BW5+$BH5+$AS5+$AC5+$M5+$CL5</f>
        <v>616773.51666666672</v>
      </c>
      <c r="CM54" s="22">
        <f>$BX5+$BI5+$AT5+$AD5+$N5+$CM5</f>
        <v>5088</v>
      </c>
      <c r="CN54" s="34">
        <f>SUM(CN55:CN56)</f>
        <v>7051.4333333334434</v>
      </c>
      <c r="CO54" s="35">
        <f>$AC5+$AD5-$Y5+$BW5+$BX5-$BT5+$BH5+$BI5-$BE5+$AS5+$AT5-$AO5+$M5+$N5-$I5+$CL5+$CM5-$CI5</f>
        <v>12139.433333333451</v>
      </c>
      <c r="CP54" s="919"/>
      <c r="CQ54" s="876">
        <v>1</v>
      </c>
      <c r="CR54" s="3" t="s">
        <v>146</v>
      </c>
      <c r="CS54" s="22">
        <f>$BO5+$AZ5+$AJ5+$T5+$D5+$CD5+$CS5</f>
        <v>713674.94999999984</v>
      </c>
      <c r="CT54" s="22">
        <f>$BP5+$BA5+$AK5+$U5+$E5+$CE5+$CT5</f>
        <v>963.71666666666681</v>
      </c>
      <c r="CU54" s="23">
        <f>$BQ5+$BB5+$AL5+$V5+$F5+$CF5+$CU5</f>
        <v>2361.3000000000002</v>
      </c>
      <c r="CV54" s="22">
        <f>$BR5+$BC5+$AM5+$W5+$G5+$CG5+$CV5</f>
        <v>3774</v>
      </c>
      <c r="CW54" s="785">
        <f>$BS5+$BD5+$AN5+$X5+$H5+$CH5+$CW5</f>
        <v>0</v>
      </c>
      <c r="CX54" s="21">
        <f>$BT5+$BE5+$AO5+$Y5+$I5+$CI5+$CX5</f>
        <v>713225.96666666656</v>
      </c>
      <c r="CY54" s="99">
        <f t="shared" ref="CY54:CY75" si="56">(CV54-CW54)/(CS54+CT54+CU54)</f>
        <v>5.2635985710645554E-3</v>
      </c>
      <c r="CZ54" s="33">
        <f t="shared" ref="CZ54:CZ75" si="57">1-((CV54-CW54)/(CS54+CT54+CU54))</f>
        <v>0.99473640142893549</v>
      </c>
      <c r="DA54" s="22">
        <f>$BW5+$BH5+$AS5+$AC5+$M5+$CL5+$DA5</f>
        <v>721136.55</v>
      </c>
      <c r="DB54" s="22">
        <f>$BX5+$BI5+$AT5+$AD5+$N5+$CM5+$DB5</f>
        <v>5936</v>
      </c>
      <c r="DC54" s="34">
        <f>SUM(DC55:DC56)</f>
        <v>7910.5833333334813</v>
      </c>
      <c r="DD54" s="35">
        <f>$AC5+$AD5-$Y5+$BW5+$BX5-$BT5+$BH5+$BI5-$BE5+$AS5+$AT5-$AO5+$M5+$N5-$I5+$CL5+$CM5-$CI5+$DA5+$DB5-$CX5</f>
        <v>13846.583333333489</v>
      </c>
      <c r="DE54" s="920"/>
      <c r="DF54" s="932">
        <v>1</v>
      </c>
      <c r="DG54" s="3" t="s">
        <v>146</v>
      </c>
      <c r="DH54" s="22">
        <f>$BO5+$AZ5+$AJ5+$T5+$D5+$CD5+$CS5+$DH5</f>
        <v>807655.48333333316</v>
      </c>
      <c r="DI54" s="22">
        <f>$BP5+$BA5+$AK5+$U5+$E5+$CE5+$CT5+$DJ5</f>
        <v>963.71666666666681</v>
      </c>
      <c r="DJ54" s="23">
        <f>$BQ5+$BB5+$AL5+$V5+$F5+$CF5+$CU5+$DJ5</f>
        <v>2361.3000000000002</v>
      </c>
      <c r="DK54" s="22">
        <f>$BR5+$BC5+$AM5+$W5+$G5+$CG5+$CV5+$DK5</f>
        <v>3774</v>
      </c>
      <c r="DL54" s="785">
        <f>$BS5+$BD5+$AN5+$X5+$H5+$CH5+$CW5+DL5</f>
        <v>0</v>
      </c>
      <c r="DM54" s="21">
        <f>$BT5+$BE5+$AO5+$Y5+$I5+$CI5+$CX5+DM5</f>
        <v>807206.49999999988</v>
      </c>
      <c r="DN54" s="99">
        <f t="shared" ref="DN54:DN75" si="58">(DK54-DL54)/(DH54+DI54+DJ54)</f>
        <v>4.6536260736232257E-3</v>
      </c>
      <c r="DO54" s="33">
        <f t="shared" ref="DO54:DO75" si="59">1-((DK54-DL54)/(DH54+DI54+DJ54))</f>
        <v>0.99534637392637682</v>
      </c>
      <c r="DP54" s="22">
        <f>$BW5+$BH5+$AS5+$AC5+$M5+$CL5+$DA5+$DP5</f>
        <v>817749.21666666679</v>
      </c>
      <c r="DQ54" s="22">
        <f>$BX5+$BI5+$AT5+$AD5+$N5+$CM5+$DB5+$DQ5</f>
        <v>6784</v>
      </c>
      <c r="DR54" s="34">
        <f>SUM(DR55:DR56)</f>
        <v>10542.716666666856</v>
      </c>
      <c r="DS54" s="35">
        <f>$AC5+$AD5-$Y5+$BW5+$BX5-$BT5+$BH5+$BI5-$BE5+$AS5+$AT5-$AO5+$M5+$N5-$I5+$CL5+$CM5-$CI5+$DA5+$DB5-$CX5+$DP5+$DQ5-$DM5</f>
        <v>17326.716666666878</v>
      </c>
      <c r="DT54" s="921"/>
      <c r="DU54" s="932">
        <v>1</v>
      </c>
      <c r="DV54" s="3" t="s">
        <v>146</v>
      </c>
      <c r="DW54" s="22">
        <f>$BO5+$AZ5+$AJ5+$T5+$D5+$CD5+$CS5+$DH5+$DW5</f>
        <v>909717.29999999981</v>
      </c>
      <c r="DX54" s="22">
        <f>$BP5+$BA5+$AK5+$U5+$E5+$CE5+$CT5+$DJ5+$DX5</f>
        <v>963.71666666666681</v>
      </c>
      <c r="DY54" s="23">
        <f>$BQ5+$BB5+$AL5+$V5+$F5+$CF5+$CU5+$DJ5+$DY5</f>
        <v>2361.3000000000002</v>
      </c>
      <c r="DZ54" s="22">
        <f>$BR5+$BC5+$AM5+$W5+$G5+$CG5+$CV5+$DK5+$DZ5</f>
        <v>3774</v>
      </c>
      <c r="EA54" s="785">
        <f>$BS5+$BD5+$AN5+$X5+$H5+$CH5+$CW5+$DL5+$EA5</f>
        <v>0</v>
      </c>
      <c r="EB54" s="21">
        <f>$BT5+$BE5+$AO5+$Y5+$I5+$CI5+$CX5+$DM5+$EB5</f>
        <v>909268.31666666653</v>
      </c>
      <c r="EC54" s="99">
        <f t="shared" ref="EC54:EC75" si="60">(DZ54-EA54)/(DW54+DX54+DY54)</f>
        <v>4.1334338300749451E-3</v>
      </c>
      <c r="ED54" s="33">
        <f t="shared" ref="ED54:ED75" si="61">1-((DZ54-EA54)/(DW54+DX54+DY54))</f>
        <v>0.99586656616992508</v>
      </c>
      <c r="EE54" s="22">
        <f>$BW5+$BH5+$AS5+$AC5+$M5+$CL5+$DA5+$DP5+$EE5</f>
        <v>918683.06666666677</v>
      </c>
      <c r="EF54" s="22">
        <f>$BX5+$BI5+$AT5+$AD5+$N5+$CM5+$DB5+$DQ5+$EF5</f>
        <v>7632</v>
      </c>
      <c r="EG54" s="34">
        <f>SUM(EG55:EG56)</f>
        <v>9414.7500000001892</v>
      </c>
      <c r="EH54" s="35">
        <f>$AC5+$AD5-$Y5+$BW5+$BX5-$BT5+$BH5+$BI5-$BE5+$AS5+$AT5-$AO5+$M5+$N5-$I5+$CL5+$CM5-$CI5+$DA5+$DB5-$CX5+$DP5+$DQ5-$DM5+$EE5+$EF5-$EB5</f>
        <v>17046.750000000218</v>
      </c>
      <c r="EI54" s="923"/>
      <c r="EJ54" s="876">
        <v>1</v>
      </c>
      <c r="EK54" s="3" t="s">
        <v>146</v>
      </c>
      <c r="EL54" s="22">
        <f>$BO5+$AZ5+$AJ5+$T5+$D5+$CD5+$CS5+$DH5+$DW5+$EL5</f>
        <v>1011328.7333333332</v>
      </c>
      <c r="EM54" s="22">
        <f>$BP5+$BA5+$AK5+$U5+$E5+$CE5+$CT5+$DJ5+$DX5+$EM5</f>
        <v>963.71666666666681</v>
      </c>
      <c r="EN54" s="23">
        <f>$BQ5+$BB5+$AL5+$V5+$F5+$CF5+$CU5+$DJ5+$DY5+$EN5</f>
        <v>2361.3000000000002</v>
      </c>
      <c r="EO54" s="22">
        <f>$BR5+$BC5+$AM5+$W5+$G5+$CG5+$CV5+$DK5+$DZ5+$EO5</f>
        <v>3774</v>
      </c>
      <c r="EP54" s="785">
        <f>$BS5+$BD5+$AN5+$X5+$H5+$CH5+$CW5+$DL5+$EA5+$EP5</f>
        <v>0</v>
      </c>
      <c r="EQ54" s="21">
        <f>$BT5+$BE5+$AO5+$Y5+$I5+$CI5+$CX5+$DM5+$EB5+$EQ5</f>
        <v>1010879.7499999999</v>
      </c>
      <c r="ER54" s="99">
        <f t="shared" ref="ER54:ER75" si="62">(EO54-EP54)/(EL54+EM54+EN54)</f>
        <v>3.7194954436427208E-3</v>
      </c>
      <c r="ES54" s="33">
        <f t="shared" ref="ES54:ES75" si="63">1-((EO54-EP54)/(EL54+EM54+EN54))</f>
        <v>0.9962805045563573</v>
      </c>
      <c r="ET54" s="22">
        <f>$BW5+$BH5+$AS5+$AC5+$M5+$CL5+$DA5+$DP5+$EE5+$ET5</f>
        <v>1021121.1000000001</v>
      </c>
      <c r="EU54" s="22">
        <f>$BX5+$BI5+$AT5+$AD5+$N5+$CM5+$DB5+$DQ5+$EF5+$EU5</f>
        <v>8480</v>
      </c>
      <c r="EV54" s="34">
        <f>SUM(EV55:EV56)</f>
        <v>10241.350000000224</v>
      </c>
      <c r="EW54" s="35">
        <f>$AC5+$AD5-$Y5+$BW5+$BX5-$BT5+$BH5+$BI5-$BE5+$AS5+$AT5-$AO5+$M5+$N5-$I5+$CL5+$CM5-$CI5+$DA5+$DB5-$CX5+$DP5+$DQ5-$DM5+$EE5+$EF5-$EB5+$ET5+$EU5-$EQ5</f>
        <v>18721.350000000253</v>
      </c>
      <c r="EX54" s="925"/>
      <c r="EY54" s="932">
        <v>1</v>
      </c>
      <c r="EZ54" s="3" t="s">
        <v>146</v>
      </c>
      <c r="FA54" s="22">
        <f>$BO5+$AZ5+$AJ5+$T5+$D5+$CD5+$CS5+$DH5+$DW5+$EL5+$FA5</f>
        <v>1113478.6499999999</v>
      </c>
      <c r="FB54" s="22">
        <f>$BP5+$BA5+$AK5+$U5+$E5+$CE5+$CT5+$DJ5+$DX5+$EM5+$FB5</f>
        <v>963.71666666666681</v>
      </c>
      <c r="FC54" s="23">
        <f>$BQ5+$BB5+$AL5+$V5+$F5+$CF5+$CU5+$DJ5+$DY5+$EN5+$FC5</f>
        <v>2361.3000000000002</v>
      </c>
      <c r="FD54" s="22">
        <f>$BR5+$BC5+$AM5+$W5+$G5+$CG5+$CV5+$DK5+$DZ5+$EO5+$FD5</f>
        <v>3774</v>
      </c>
      <c r="FE54" s="785">
        <f>$BS5+$BD5+$AN5+$X5+$H5+$CH5+$CW5+$DL5+$EA5+$EP5+$FE5</f>
        <v>0</v>
      </c>
      <c r="FF54" s="21">
        <f>$BT5+$BE5+$AO5+$Y5+$I5+$CI5+$CX5+$DM5+$EB5+$EQ5+$FF5</f>
        <v>1113029.6666666665</v>
      </c>
      <c r="FG54" s="99">
        <f>(FD54-FE54)/(FA54+FB54+FC54)</f>
        <v>3.37928689942816E-3</v>
      </c>
      <c r="FH54" s="33">
        <f t="shared" ref="FH54:FH75" si="64">1-((FD54-FE54)/(FA54+FB54+FC54))</f>
        <v>0.99662071310057188</v>
      </c>
      <c r="FI54" s="22">
        <f>$BW5+$BH5+$AS5+$AC5+$M5+$CL5+$DA5+$DP5+$EE5+$ET5+$FI5</f>
        <v>1125904.9500000002</v>
      </c>
      <c r="FJ54" s="22">
        <f>$BX5+$BI5+$AT5+$AD5+$N5+$CM5+$DB5+$DQ5+$EF5+$EU5+$FJ5</f>
        <v>9328</v>
      </c>
      <c r="FK54" s="34">
        <f>SUM(FK55:FK56)</f>
        <v>12875.283333333602</v>
      </c>
      <c r="FL54" s="35">
        <f>$AC5+$AD5-$Y5+$BW5+$BX5-$BT5+$BH5+$BI5-$BE5+$AS5+$AT5-$AO5+$M5+$N5-$I5+$CL5+$CM5-$CI5+$DA5+$DB5-$CX5+$DP5+$DQ5-$DM5+$EE5+$EF5-$EB5+$ET5+$EU5-$EQ5+$FI5+$FJ5-$FF5</f>
        <v>22203.283333333631</v>
      </c>
      <c r="FM54" s="927"/>
      <c r="FN54" s="932">
        <v>1</v>
      </c>
      <c r="FO54" s="3" t="s">
        <v>146</v>
      </c>
      <c r="FP54" s="22">
        <f>$BO5+$AZ5+$AJ5+$T5+$D5+$CD5+$CS5+$DH5+$DW5+$EL5+$FA5+$FP5</f>
        <v>1213173.2333333332</v>
      </c>
      <c r="FQ54" s="22">
        <f>$BP5+$BA5+$AK5+$U5+$E5+$CE5+$CT5+$DI5+$DX5+$EM5+$FB5+$FQ5</f>
        <v>963.71666666666681</v>
      </c>
      <c r="FR54" s="23">
        <f>$BQ5+$BB5+$AL5+$V5+$F5+$CF5+$CU5+$DJ5+$DY5+$EN5+$FC5+$FR5</f>
        <v>2361.3000000000002</v>
      </c>
      <c r="FS54" s="22">
        <f>$BR5+$BC5+$AM5+$W5+$G5+$CG5+$CV5+$DK5+$DZ5+$EO5+$FD5+$FS5</f>
        <v>3774</v>
      </c>
      <c r="FT54" s="785">
        <f>$BS5+$BD5+$AN5+$X5+$H5+$CH5+$CW5+$DL5+$EA5+$EP5+$FE5+$FT5</f>
        <v>0</v>
      </c>
      <c r="FU54" s="21">
        <f>$BT5+$BE5+$AO5+$Y5+$I5+$CI5+$CX5+$DM5+$EB5+$EQ5+$FF5+$FU5</f>
        <v>1212724.2499999998</v>
      </c>
      <c r="FV54" s="99">
        <f t="shared" ref="FV54:FV75" si="65">(FS54-FT54)/(FP54+FQ54+FR54)</f>
        <v>3.1023472495747533E-3</v>
      </c>
      <c r="FW54" s="33">
        <f t="shared" ref="FW54:FW75" si="66">1-((FS54-FT54)/(FP54+FQ54+FR54))</f>
        <v>0.9968976527504253</v>
      </c>
      <c r="FX54" s="22">
        <f>$BW5+$BH5+$AS5+$AC5+$M5+$CL5+$DA5+$DP5+$EE5+$ET5+$FI5+$FX5</f>
        <v>1224467.8000000003</v>
      </c>
      <c r="FY54" s="22">
        <f>$BX5+$BI5+$AT5+$AD5+$N5+$CM5+$DB5+$DQ5+$EF5+$EU5+$FJ5+$FY5</f>
        <v>10176</v>
      </c>
      <c r="FZ54" s="34">
        <f>SUM(FZ55:FZ56)</f>
        <v>11743.550000000294</v>
      </c>
      <c r="GA54" s="35">
        <f>$AC5+$AD5-$Y5+$BW5+$BX5-$BT5+$BH5+$BI5-$BE5+$AS5+$AT5-$AO5+$M5+$N5-$I5+$CL5+$CM5-$CI5+$DA5+$DB5-$CX5+$DP5+$DQ5-$DM5+$EE5+$EF5-$EB5+$ET5+$EU5-$EQ5+$FI5+$FJ5-$FF5+$FX5+$FY5-$FU5</f>
        <v>21919.550000000323</v>
      </c>
    </row>
    <row r="55" spans="1:183">
      <c r="A55" s="906"/>
      <c r="B55" s="876">
        <v>2</v>
      </c>
      <c r="C55" s="876" t="s">
        <v>147</v>
      </c>
      <c r="D55" s="990">
        <f>SUM($D$6:D6)</f>
        <v>38577.816666666666</v>
      </c>
      <c r="E55" s="990">
        <f>SUM(E6:E6)</f>
        <v>195.93333333333331</v>
      </c>
      <c r="F55" s="59">
        <f t="shared" si="37"/>
        <v>324.5</v>
      </c>
      <c r="G55" s="106">
        <f t="shared" si="37"/>
        <v>271</v>
      </c>
      <c r="H55" s="785">
        <f t="shared" si="37"/>
        <v>0</v>
      </c>
      <c r="I55" s="1016">
        <f t="shared" si="37"/>
        <v>38827.25</v>
      </c>
      <c r="J55" s="1017">
        <f t="shared" si="37"/>
        <v>37028</v>
      </c>
      <c r="K55" s="930">
        <f>(G55-H55)/(D55+E55+F55)</f>
        <v>6.931256514038352E-3</v>
      </c>
      <c r="L55" s="930">
        <f>1-((G55-H55)/(D55+E55+F55))</f>
        <v>0.99306874348596164</v>
      </c>
      <c r="M55" s="990">
        <f t="shared" si="38"/>
        <v>39310</v>
      </c>
      <c r="N55" s="990">
        <f t="shared" si="38"/>
        <v>0</v>
      </c>
      <c r="O55" s="1018">
        <f>O6</f>
        <v>482.75</v>
      </c>
      <c r="P55" s="1019"/>
      <c r="Q55" s="909"/>
      <c r="R55" s="932">
        <v>2</v>
      </c>
      <c r="S55" s="876" t="s">
        <v>147</v>
      </c>
      <c r="T55" s="990">
        <f t="shared" si="39"/>
        <v>77276.466666666674</v>
      </c>
      <c r="U55" s="990">
        <f t="shared" si="39"/>
        <v>354.48333333333335</v>
      </c>
      <c r="V55" s="24">
        <f t="shared" si="39"/>
        <v>681.3</v>
      </c>
      <c r="W55" s="990">
        <f t="shared" si="39"/>
        <v>556</v>
      </c>
      <c r="X55" s="785">
        <f t="shared" si="39"/>
        <v>0</v>
      </c>
      <c r="Y55" s="1016">
        <f t="shared" si="40"/>
        <v>77756.25</v>
      </c>
      <c r="Z55" s="1017">
        <f t="shared" si="40"/>
        <v>75913</v>
      </c>
      <c r="AA55" s="930">
        <f t="shared" si="41"/>
        <v>7.0997832395314894E-3</v>
      </c>
      <c r="AB55" s="930">
        <f t="shared" si="42"/>
        <v>0.99290021676046847</v>
      </c>
      <c r="AC55" s="990">
        <f t="shared" si="43"/>
        <v>78743</v>
      </c>
      <c r="AD55" s="990">
        <f t="shared" si="43"/>
        <v>0</v>
      </c>
      <c r="AE55" s="1018">
        <f>AE6+O6</f>
        <v>986.74999999999272</v>
      </c>
      <c r="AF55" s="1019"/>
      <c r="AG55" s="911"/>
      <c r="AH55" s="876">
        <v>2</v>
      </c>
      <c r="AI55" s="876" t="s">
        <v>147</v>
      </c>
      <c r="AJ55" s="990">
        <f t="shared" si="44"/>
        <v>113836.16666666667</v>
      </c>
      <c r="AK55" s="990">
        <f t="shared" si="44"/>
        <v>395.7166666666667</v>
      </c>
      <c r="AL55" s="24">
        <f t="shared" si="44"/>
        <v>857.6</v>
      </c>
      <c r="AM55" s="990">
        <f t="shared" si="44"/>
        <v>836</v>
      </c>
      <c r="AN55" s="785">
        <f t="shared" si="44"/>
        <v>0</v>
      </c>
      <c r="AO55" s="1016">
        <f t="shared" si="45"/>
        <v>114253.48333333334</v>
      </c>
      <c r="AP55" s="1017">
        <f t="shared" si="45"/>
        <v>75913</v>
      </c>
      <c r="AQ55" s="930">
        <f t="shared" si="46"/>
        <v>7.2639130508449293E-3</v>
      </c>
      <c r="AR55" s="930">
        <f t="shared" si="47"/>
        <v>0.99273608694915505</v>
      </c>
      <c r="AS55" s="990">
        <f t="shared" si="48"/>
        <v>115826</v>
      </c>
      <c r="AT55" s="990">
        <f t="shared" si="48"/>
        <v>0</v>
      </c>
      <c r="AU55" s="1018">
        <f>AU6+AE6+O6</f>
        <v>1572.5166666666628</v>
      </c>
      <c r="AV55" s="1019"/>
      <c r="AW55" s="913"/>
      <c r="AX55" s="876">
        <v>2</v>
      </c>
      <c r="AY55" s="876" t="s">
        <v>147</v>
      </c>
      <c r="AZ55" s="990">
        <f t="shared" si="49"/>
        <v>153352.93333333335</v>
      </c>
      <c r="BA55" s="990">
        <f t="shared" si="49"/>
        <v>521.1</v>
      </c>
      <c r="BB55" s="24">
        <f t="shared" si="49"/>
        <v>868.1</v>
      </c>
      <c r="BC55" s="990">
        <f t="shared" si="49"/>
        <v>1210</v>
      </c>
      <c r="BD55" s="785">
        <f t="shared" si="49"/>
        <v>0</v>
      </c>
      <c r="BE55" s="1016">
        <f t="shared" si="49"/>
        <v>153532.13333333333</v>
      </c>
      <c r="BF55" s="930">
        <f t="shared" si="50"/>
        <v>7.8194605046158494E-3</v>
      </c>
      <c r="BG55" s="930">
        <f t="shared" si="51"/>
        <v>0.99218053949538421</v>
      </c>
      <c r="BH55" s="990">
        <f>BH6+AS6+AC6+M6</f>
        <v>155684</v>
      </c>
      <c r="BI55" s="990"/>
      <c r="BJ55" s="1018">
        <f>BJ6+AU6+AE6+O6</f>
        <v>2151.8666666666541</v>
      </c>
      <c r="BK55" s="1019"/>
      <c r="BL55" s="914"/>
      <c r="BM55" s="932">
        <v>2</v>
      </c>
      <c r="BN55" s="876" t="s">
        <v>147</v>
      </c>
      <c r="BO55" s="990">
        <f>$BO6+$AZ6+$AJ6+$T6+$D6</f>
        <v>190023.10000000003</v>
      </c>
      <c r="BP55" s="990">
        <f>$BP6+$BA6+$AK6+$U6+$E6</f>
        <v>521.1</v>
      </c>
      <c r="BQ55" s="36">
        <f>$BQ6+$BB6+$AL6+$V6+$F6</f>
        <v>868.1</v>
      </c>
      <c r="BR55" s="990">
        <f>$BR6+$BC6+$AM6+$W6+$G6</f>
        <v>1210</v>
      </c>
      <c r="BS55" s="785">
        <f>$BS6+$BD6+$AN6+$X6+$H6</f>
        <v>0</v>
      </c>
      <c r="BT55" s="1016">
        <f>$BT6+$BE6+$AO6+$Y6+$I6</f>
        <v>190202.30000000002</v>
      </c>
      <c r="BU55" s="930">
        <f t="shared" si="52"/>
        <v>6.3214328441798138E-3</v>
      </c>
      <c r="BV55" s="930">
        <f t="shared" si="53"/>
        <v>0.99367856715582015</v>
      </c>
      <c r="BW55" s="990">
        <f>$BW6+$BH6+$AS6+$AC6+$M6</f>
        <v>192679</v>
      </c>
      <c r="BX55" s="990"/>
      <c r="BY55" s="1020">
        <f>$BY6+$BJ6+$AU6+$AE6+$O6</f>
        <v>2476.6999999999898</v>
      </c>
      <c r="BZ55" s="1019"/>
      <c r="CA55" s="915"/>
      <c r="CB55" s="876">
        <v>2</v>
      </c>
      <c r="CC55" s="876" t="s">
        <v>147</v>
      </c>
      <c r="CD55" s="990">
        <f>$BO6+$AZ6+$AJ6+$T6+$D6+$CD6</f>
        <v>227997.90000000002</v>
      </c>
      <c r="CE55" s="990">
        <f>$BP6+$BA6+$AK6+$U6+$E6+$CE6</f>
        <v>521.1</v>
      </c>
      <c r="CF55" s="36">
        <f>$BQ6+$BB6+$AL6+$V6+$F6+$CF6</f>
        <v>868.1</v>
      </c>
      <c r="CG55" s="990">
        <f>$BR6+$BC6+$AM6+$W6+$G6+$CG6</f>
        <v>1210</v>
      </c>
      <c r="CH55" s="785">
        <f>$BS6+$BD6+$AN6+$X6+$H6+$CH6</f>
        <v>0</v>
      </c>
      <c r="CI55" s="1016">
        <f>$BT6+$BE6+$AO6+$Y6+$I6+$CI6</f>
        <v>228177.10000000003</v>
      </c>
      <c r="CJ55" s="930">
        <f t="shared" si="54"/>
        <v>5.274926096541609E-3</v>
      </c>
      <c r="CK55" s="930">
        <f t="shared" si="55"/>
        <v>0.99472507390345843</v>
      </c>
      <c r="CL55" s="990">
        <f>$BW6+$BH6+$AS6+$AC6+$M6+$CL6</f>
        <v>231017</v>
      </c>
      <c r="CM55" s="990"/>
      <c r="CN55" s="1020">
        <f>$BY6+$BJ6+$AU6+$AE6+$O6+$CN6</f>
        <v>2839.8999999999869</v>
      </c>
      <c r="CO55" s="1019"/>
      <c r="CP55" s="919"/>
      <c r="CQ55" s="876">
        <v>2</v>
      </c>
      <c r="CR55" s="876" t="s">
        <v>147</v>
      </c>
      <c r="CS55" s="990">
        <f>$BO6+$AZ6+$AJ6+$T6+$D6+$CD6+$CS6</f>
        <v>266708.01666666672</v>
      </c>
      <c r="CT55" s="990">
        <f>$BP6+$BA6+$AK6+$U6+$E6+$CE6+$CT6</f>
        <v>521.1</v>
      </c>
      <c r="CU55" s="36">
        <f>$BQ6+$BB6+$AL6+$V6+$F6+$CF6+$CU6</f>
        <v>868.1</v>
      </c>
      <c r="CV55" s="990">
        <f>$BR6+$BC6+$AM6+$W6+$G6+$CG6+$CV6</f>
        <v>1210</v>
      </c>
      <c r="CW55" s="785">
        <f>$BS6+$BD6+$AN6+$X6+$H6+$CH6+$CW6</f>
        <v>0</v>
      </c>
      <c r="CX55" s="1016">
        <f>$BT6+$BE6+$AO6+$Y6+$I6+$CI6+$CX6</f>
        <v>266887.21666666673</v>
      </c>
      <c r="CY55" s="930">
        <f t="shared" si="56"/>
        <v>4.5132881834593205E-3</v>
      </c>
      <c r="CZ55" s="930">
        <f t="shared" si="57"/>
        <v>0.99548671181654069</v>
      </c>
      <c r="DA55" s="990">
        <f>$BW6+$BH6+$AS6+$AC6+$M6+$CL6+$DA6</f>
        <v>270115</v>
      </c>
      <c r="DB55" s="990"/>
      <c r="DC55" s="1020">
        <f>$BY6+$BJ6+$AU6+$AE6+$O6+$CN6+$DC6</f>
        <v>3227.783333333311</v>
      </c>
      <c r="DD55" s="1019"/>
      <c r="DE55" s="920"/>
      <c r="DF55" s="932">
        <v>2</v>
      </c>
      <c r="DG55" s="876" t="s">
        <v>147</v>
      </c>
      <c r="DH55" s="990">
        <f>$BO6+$AZ6+$AJ6+$T6+$D6+$CD6+$CS6+$DH6</f>
        <v>301853.68333333341</v>
      </c>
      <c r="DI55" s="990">
        <f>$BP6+$BA6+$AK6+$U6+$E6+$CE6+$CT6+$DJ6</f>
        <v>521.1</v>
      </c>
      <c r="DJ55" s="36">
        <f>$BQ6+$BB6+$AL6+$V6+$F6+$CF6+$CU6+$DJ6</f>
        <v>868.1</v>
      </c>
      <c r="DK55" s="990">
        <f>$BR6+$BC6+$AM6+$W6+$G6+$CG6+$CV6+$DK6</f>
        <v>1210</v>
      </c>
      <c r="DL55" s="785">
        <f>$BS6+$BD6+$AN6+$X6+$H6+$CH6+$CW6+DL6</f>
        <v>0</v>
      </c>
      <c r="DM55" s="1016">
        <f>$BT6+$BE6+$AO6+$Y6+$I6+$CI6+$CX6+DM6</f>
        <v>302032.88333333342</v>
      </c>
      <c r="DN55" s="930">
        <f t="shared" si="58"/>
        <v>3.9902008142757728E-3</v>
      </c>
      <c r="DO55" s="930">
        <f t="shared" si="59"/>
        <v>0.99600979918572419</v>
      </c>
      <c r="DP55" s="990">
        <f>$BW6+$BH6+$AS6+$AC6+$M6+$CL6+$DA6+$DP6</f>
        <v>306281</v>
      </c>
      <c r="DQ55" s="990"/>
      <c r="DR55" s="1020">
        <f>$BY6+$BJ6+$AU6+$AE6+$O6+$CN6+$DC6+$DR6</f>
        <v>4248.1166666666468</v>
      </c>
      <c r="DS55" s="1019"/>
      <c r="DT55" s="921"/>
      <c r="DU55" s="932">
        <v>2</v>
      </c>
      <c r="DV55" s="876" t="s">
        <v>147</v>
      </c>
      <c r="DW55" s="990">
        <f>$BO6+$AZ6+$AJ6+$T6+$D6+$CD6+$CS6+$DH6+$DW6</f>
        <v>339957.75000000006</v>
      </c>
      <c r="DX55" s="990">
        <f>$BP6+$BA6+$AK6+$U6+$E6+$CE6+$CT6+$DJ6+$DX6</f>
        <v>521.1</v>
      </c>
      <c r="DY55" s="36">
        <f>$BQ6+$BB6+$AL6+$V6+$F6+$CF6+$CU6+$DJ6+$DY6</f>
        <v>868.1</v>
      </c>
      <c r="DZ55" s="990">
        <f>$BR6+$BC6+$AM6+$W6+$G6+$CG6+$CV6+$DK6+$DZ6</f>
        <v>1210</v>
      </c>
      <c r="EA55" s="785">
        <f>$BS6+$BD6+$AN6+$X6+$H6+$CH6+$CW6+$DL6+$EA6</f>
        <v>0</v>
      </c>
      <c r="EB55" s="1016">
        <f>$BT6+$BE6+$AO6+$Y6+$I6+$CI6+$CX6+$DM6+$EB6</f>
        <v>340136.95000000007</v>
      </c>
      <c r="EC55" s="930">
        <f t="shared" si="60"/>
        <v>3.5447804645683811E-3</v>
      </c>
      <c r="ED55" s="930">
        <f t="shared" si="61"/>
        <v>0.99645521953543159</v>
      </c>
      <c r="EE55" s="990">
        <f>$BW6+$BH6+$AS6+$AC6+$M6+$CL6+$DA6+$DP6+$EE6</f>
        <v>344036</v>
      </c>
      <c r="EF55" s="990"/>
      <c r="EG55" s="1020">
        <f>$BY6+$BJ6+$AU6+$AE6+$O6+$CN6+$DC6+$DR6+$EG6</f>
        <v>3899.0499999999811</v>
      </c>
      <c r="EH55" s="1019"/>
      <c r="EI55" s="941"/>
      <c r="EJ55" s="876">
        <v>2</v>
      </c>
      <c r="EK55" s="876" t="s">
        <v>147</v>
      </c>
      <c r="EL55" s="990">
        <f>$BO6+$AZ6+$AJ6+$T6+$D6+$CD6+$CS6+$DH6+$DW6+$EL6</f>
        <v>377977.71666666673</v>
      </c>
      <c r="EM55" s="990">
        <f>$BP6+$BA6+$AK6+$U6+$E6+$CE6+$CT6+$DJ6+$DX6+$EM6</f>
        <v>521.1</v>
      </c>
      <c r="EN55" s="36">
        <f>$BQ6+$BB6+$AL6+$V6+$F6+$CF6+$CU6+$DJ6+$DY6+$EN6</f>
        <v>868.1</v>
      </c>
      <c r="EO55" s="990">
        <f>$BR6+$BC6+$AM6+$W6+$G6+$CG6+$CV6+$DK6+$DZ6+$EO6</f>
        <v>1210</v>
      </c>
      <c r="EP55" s="785">
        <f>$BS6+$BD6+$AN6+$X6+$H6+$CH6+$CW6+$DL6+$EA6+$EP6</f>
        <v>0</v>
      </c>
      <c r="EQ55" s="1016">
        <f>$BT6+$BE6+$AO6+$Y6+$I6+$CI6+$CX6+$DM6+$EB6+$EQ6</f>
        <v>378156.91666666674</v>
      </c>
      <c r="ER55" s="930">
        <f t="shared" si="62"/>
        <v>3.1895243017808395E-3</v>
      </c>
      <c r="ES55" s="930">
        <f t="shared" si="63"/>
        <v>0.99681047569821912</v>
      </c>
      <c r="ET55" s="990">
        <f>$BW6+$BH6+$AS6+$AC6+$M6+$CL6+$DA6+$DP6+$EE6+$ET6</f>
        <v>382428</v>
      </c>
      <c r="EU55" s="990"/>
      <c r="EV55" s="1020">
        <f>$BY6+$BJ6+$AU6+$AE6+$O6+$CN6+$DC6+$DR6+$EG6+$EV6</f>
        <v>4271.0833333333067</v>
      </c>
      <c r="EW55" s="1019"/>
      <c r="EX55" s="925"/>
      <c r="EY55" s="932">
        <v>2</v>
      </c>
      <c r="EZ55" s="876" t="s">
        <v>147</v>
      </c>
      <c r="FA55" s="990">
        <f>$BO6+$AZ6+$AJ6+$T6+$D6+$CD6+$CS6+$DH6+$DW6+$EL6+$FA6</f>
        <v>416127.81666666671</v>
      </c>
      <c r="FB55" s="990">
        <f>$BP6+$BA6+$AK6+$U6+$E6+$CE6+$CT6+$DJ6+$DX6+$EM6+$FB6</f>
        <v>521.1</v>
      </c>
      <c r="FC55" s="36">
        <f>$BQ6+$BB6+$AL6+$V6+$F6+$CF6+$CU6+$DJ6+$DY6+$EN6+$FC6</f>
        <v>868.1</v>
      </c>
      <c r="FD55" s="990">
        <f>$BR6+$BC6+$AM6+$W6+$G6+$CG6+$CV6+$DK6+$DZ6+$EO6+$FD6</f>
        <v>1210</v>
      </c>
      <c r="FE55" s="785">
        <f>$BS6+$BD6+$AN6+$X6+$H6+$CH6+$CW6+$DL6+$EA6+$EP6+$FE6</f>
        <v>0</v>
      </c>
      <c r="FF55" s="1016">
        <f>$BT6+$BE6+$AO6+$Y6+$I6+$CI6+$CX6+$DM6+$EB6+$EQ6+$FF6</f>
        <v>416307.01666666672</v>
      </c>
      <c r="FG55" s="930">
        <f t="shared" ref="FG55:FG75" si="67">(FD55-FE55)/(FA55+FB55+FC55)</f>
        <v>2.8980854712468604E-3</v>
      </c>
      <c r="FH55" s="930">
        <f t="shared" si="64"/>
        <v>0.99710191452875319</v>
      </c>
      <c r="FI55" s="990">
        <f>$BW6+$BH6+$AS6+$AC6+$M6+$CL6+$DA6+$DP6+$EE6+$ET6+$FI6</f>
        <v>421595</v>
      </c>
      <c r="FJ55" s="990"/>
      <c r="FK55" s="1020">
        <f>$BY6+$BJ6+$AU6+$AE6+$O6+$CN6+$DC6+$DR6+$EG6+$EV6+$FK6</f>
        <v>5287.9833333333081</v>
      </c>
      <c r="FL55" s="1019"/>
      <c r="FM55" s="927"/>
      <c r="FN55" s="932">
        <v>2</v>
      </c>
      <c r="FO55" s="876" t="s">
        <v>147</v>
      </c>
      <c r="FP55" s="990">
        <f>$BO6+$AZ6+$AJ6+$T6+$D6+$CD6+$CS6+$DH6+$DW6+$EL6+$FA6+$FP6</f>
        <v>453404.03333333338</v>
      </c>
      <c r="FQ55" s="990">
        <f>$BP6+$BA6+$AK6+$U6+$E6+$CE6+$CT6+$DI6+$DX6+$EM6+$FB6+$FQ6</f>
        <v>521.1</v>
      </c>
      <c r="FR55" s="36">
        <f>$BQ6+$BB6+$AL6+$V6+$F6+$CF6+$CU6+$DJ6+$DY6+$EN6+$FC6+$FR6</f>
        <v>868.1</v>
      </c>
      <c r="FS55" s="990">
        <f>$BR6+$BC6+$AM6+$W6+$G6+$CG6+$CV6+$DK6+$DZ6+$EO6+$FD6+$FS6</f>
        <v>1210</v>
      </c>
      <c r="FT55" s="785">
        <f>$BS6+$BD6+$AN6+$X6+$H6+$CH6+$CW6+$DL6+$EA6+$EP6+$FE6+$FT6</f>
        <v>0</v>
      </c>
      <c r="FU55" s="1016">
        <f>$BT6+$BE6+$AO6+$Y6+$I6+$CI6+$CX6+$DM6+$EB6+$EQ6+$FF6+$FU6</f>
        <v>453583.2333333334</v>
      </c>
      <c r="FV55" s="930">
        <f>(FS55-FT55)/(FP55+FQ55+FR55)</f>
        <v>2.6605496988851415E-3</v>
      </c>
      <c r="FW55" s="930">
        <f t="shared" si="66"/>
        <v>0.99733945030111482</v>
      </c>
      <c r="FX55" s="990">
        <f>$BW6+$BH6+$AS6+$AC6+$M6+$CL6+$DA6+$DP6+$EE6+$ET6+$FI6+$FX6</f>
        <v>458521</v>
      </c>
      <c r="FY55" s="990"/>
      <c r="FZ55" s="1020">
        <f>$BY6+$BJ6+$AU6+$AE6+$O6+$CN6+$DC6+$DR6+$EG6+$EV6+$FK6+$FZ6</f>
        <v>4937.766666666641</v>
      </c>
      <c r="GA55" s="1019"/>
    </row>
    <row r="56" spans="1:183">
      <c r="A56" s="906"/>
      <c r="B56" s="876">
        <v>3</v>
      </c>
      <c r="C56" s="876" t="s">
        <v>148</v>
      </c>
      <c r="D56" s="990">
        <f>SUM($D$7:D7)</f>
        <v>64673.16666666665</v>
      </c>
      <c r="E56" s="990">
        <f>SUM(E7:E7)</f>
        <v>154.80000000000001</v>
      </c>
      <c r="F56" s="59">
        <f t="shared" si="37"/>
        <v>563.79999999999995</v>
      </c>
      <c r="G56" s="106">
        <f t="shared" si="37"/>
        <v>670</v>
      </c>
      <c r="H56" s="785">
        <f t="shared" si="37"/>
        <v>0</v>
      </c>
      <c r="I56" s="1016">
        <f t="shared" si="37"/>
        <v>64721.766666666656</v>
      </c>
      <c r="J56" s="1017">
        <f t="shared" si="37"/>
        <v>66370</v>
      </c>
      <c r="K56" s="930">
        <f>(G56-H56)/(D56+E56+F56)</f>
        <v>1.0245938199151474E-2</v>
      </c>
      <c r="L56" s="930">
        <f>1-((G56-H56)/(D56+E56+F56))</f>
        <v>0.98975406180084857</v>
      </c>
      <c r="M56" s="990">
        <f t="shared" si="38"/>
        <v>65505</v>
      </c>
      <c r="N56" s="990">
        <f t="shared" si="38"/>
        <v>0</v>
      </c>
      <c r="O56" s="1018">
        <f>O7</f>
        <v>783.23333333334449</v>
      </c>
      <c r="P56" s="1019"/>
      <c r="Q56" s="909"/>
      <c r="R56" s="932">
        <v>3</v>
      </c>
      <c r="S56" s="876" t="s">
        <v>148</v>
      </c>
      <c r="T56" s="990">
        <f t="shared" si="39"/>
        <v>129668.08333333328</v>
      </c>
      <c r="U56" s="990">
        <f t="shared" si="39"/>
        <v>350.06666666666672</v>
      </c>
      <c r="V56" s="24">
        <f t="shared" si="39"/>
        <v>1151.3</v>
      </c>
      <c r="W56" s="990">
        <f t="shared" si="39"/>
        <v>1324</v>
      </c>
      <c r="X56" s="785">
        <f t="shared" si="39"/>
        <v>0</v>
      </c>
      <c r="Y56" s="1016">
        <f t="shared" si="40"/>
        <v>129845.44999999998</v>
      </c>
      <c r="Z56" s="1017">
        <f t="shared" si="40"/>
        <v>131533</v>
      </c>
      <c r="AA56" s="930">
        <f t="shared" si="41"/>
        <v>1.009381376532417E-2</v>
      </c>
      <c r="AB56" s="930">
        <f t="shared" si="42"/>
        <v>0.98990618623467586</v>
      </c>
      <c r="AC56" s="990">
        <f>AC7+M7</f>
        <v>131333</v>
      </c>
      <c r="AD56" s="990">
        <f t="shared" si="43"/>
        <v>0</v>
      </c>
      <c r="AE56" s="1018">
        <f>AE7+O7</f>
        <v>1487.5500000000247</v>
      </c>
      <c r="AF56" s="1019"/>
      <c r="AG56" s="911"/>
      <c r="AH56" s="876">
        <v>3</v>
      </c>
      <c r="AI56" s="876" t="s">
        <v>148</v>
      </c>
      <c r="AJ56" s="990">
        <f t="shared" si="44"/>
        <v>190938.21666666659</v>
      </c>
      <c r="AK56" s="990">
        <f t="shared" si="44"/>
        <v>393.41666666666669</v>
      </c>
      <c r="AL56" s="24">
        <f t="shared" si="44"/>
        <v>1478.6999999999998</v>
      </c>
      <c r="AM56" s="990">
        <f t="shared" si="44"/>
        <v>1945</v>
      </c>
      <c r="AN56" s="785">
        <f t="shared" si="44"/>
        <v>0</v>
      </c>
      <c r="AO56" s="1016">
        <f t="shared" si="45"/>
        <v>190865.33333333328</v>
      </c>
      <c r="AP56" s="1017">
        <f t="shared" si="45"/>
        <v>131533</v>
      </c>
      <c r="AQ56" s="930">
        <f t="shared" si="46"/>
        <v>1.0087633615764027E-2</v>
      </c>
      <c r="AR56" s="930">
        <f t="shared" si="47"/>
        <v>0.98991236638423596</v>
      </c>
      <c r="AS56" s="990">
        <f t="shared" si="48"/>
        <v>193238</v>
      </c>
      <c r="AT56" s="990">
        <f t="shared" si="48"/>
        <v>0</v>
      </c>
      <c r="AU56" s="1018">
        <f>AU7+AE7+O7</f>
        <v>2372.6666666667224</v>
      </c>
      <c r="AV56" s="1019"/>
      <c r="AW56" s="913"/>
      <c r="AX56" s="876">
        <v>3</v>
      </c>
      <c r="AY56" s="876" t="s">
        <v>148</v>
      </c>
      <c r="AZ56" s="990">
        <f t="shared" si="49"/>
        <v>256962.48333333325</v>
      </c>
      <c r="BA56" s="990">
        <f t="shared" si="49"/>
        <v>442.61666666666673</v>
      </c>
      <c r="BB56" s="24">
        <f t="shared" si="49"/>
        <v>1493.1999999999998</v>
      </c>
      <c r="BC56" s="990">
        <f t="shared" si="49"/>
        <v>2564</v>
      </c>
      <c r="BD56" s="785">
        <f t="shared" si="49"/>
        <v>0</v>
      </c>
      <c r="BE56" s="1016">
        <f t="shared" si="49"/>
        <v>256334.29999999993</v>
      </c>
      <c r="BF56" s="930">
        <f t="shared" si="50"/>
        <v>9.9035026494959637E-3</v>
      </c>
      <c r="BG56" s="930">
        <f t="shared" si="51"/>
        <v>0.99009649735050409</v>
      </c>
      <c r="BH56" s="990">
        <f>BH7+AS7+AC7+M7</f>
        <v>259693</v>
      </c>
      <c r="BI56" s="990"/>
      <c r="BJ56" s="1018">
        <f>BJ7+AU7+AE7+O7</f>
        <v>3358.7000000000917</v>
      </c>
      <c r="BK56" s="1019"/>
      <c r="BL56" s="914"/>
      <c r="BM56" s="932">
        <v>3</v>
      </c>
      <c r="BN56" s="876" t="s">
        <v>148</v>
      </c>
      <c r="BO56" s="990">
        <f>$BO7+$AZ7+$AJ7+$T7+$D7</f>
        <v>318544.8333333332</v>
      </c>
      <c r="BP56" s="990">
        <f>$BP7+$BA7+$AK7+$U7+$E7</f>
        <v>442.61666666666673</v>
      </c>
      <c r="BQ56" s="36">
        <f>$BQ7+$BB7+$AL7+$V7+$F7</f>
        <v>1493.1999999999998</v>
      </c>
      <c r="BR56" s="990">
        <f>$BR7+$BC7+$AM7+$W7+$G7</f>
        <v>2564</v>
      </c>
      <c r="BS56" s="785">
        <f>$BS7+$BD7+$AN7+$X7+$H7</f>
        <v>0</v>
      </c>
      <c r="BT56" s="1016">
        <f>$BT7+$BE7+$AO7+$Y7+$I7</f>
        <v>317916.64999999991</v>
      </c>
      <c r="BU56" s="930">
        <f t="shared" si="52"/>
        <v>8.0004830244821377E-3</v>
      </c>
      <c r="BV56" s="930">
        <f t="shared" si="53"/>
        <v>0.99199951697551791</v>
      </c>
      <c r="BW56" s="990">
        <f>$BW7+$BH7+$AS7+$AC7+$M7</f>
        <v>321681.66666666669</v>
      </c>
      <c r="BX56" s="990"/>
      <c r="BY56" s="1020">
        <f>$BY7+$BJ7+$AU7+$AE7+$O7</f>
        <v>3765.0166666667646</v>
      </c>
      <c r="BZ56" s="1019"/>
      <c r="CA56" s="915"/>
      <c r="CB56" s="876">
        <v>3</v>
      </c>
      <c r="CC56" s="876" t="s">
        <v>148</v>
      </c>
      <c r="CD56" s="990">
        <f>$BO7+$AZ7+$AJ7+$T7+$D7+$CD7</f>
        <v>382173.16666666651</v>
      </c>
      <c r="CE56" s="990">
        <f>$BP7+$BA7+$AK7+$U7+$E7+$CE7</f>
        <v>442.61666666666673</v>
      </c>
      <c r="CF56" s="36">
        <f>$BQ7+$BB7+$AL7+$V7+$F7+$CF7</f>
        <v>1493.1999999999998</v>
      </c>
      <c r="CG56" s="990">
        <f>$BR7+$BC7+$AM7+$W7+$G7+$CG7</f>
        <v>2564</v>
      </c>
      <c r="CH56" s="785">
        <f>$BS7+$BD7+$AN7+$X7+$H7+$CH7</f>
        <v>0</v>
      </c>
      <c r="CI56" s="1016">
        <f>$BT7+$BE7+$AO7+$Y7+$I7+$CI7</f>
        <v>381544.98333333322</v>
      </c>
      <c r="CJ56" s="930">
        <f t="shared" si="54"/>
        <v>6.6751888428887331E-3</v>
      </c>
      <c r="CK56" s="930">
        <f t="shared" si="55"/>
        <v>0.99332481115711124</v>
      </c>
      <c r="CL56" s="990">
        <f>$BW7+$BH7+$AS7+$AC7+$M7+$CL7</f>
        <v>385756.51666666666</v>
      </c>
      <c r="CM56" s="990"/>
      <c r="CN56" s="1020">
        <f>$BY7+$BJ7+$AU7+$AE7+$O7+$CN7</f>
        <v>4211.5333333334565</v>
      </c>
      <c r="CO56" s="1019"/>
      <c r="CP56" s="919"/>
      <c r="CQ56" s="876">
        <v>3</v>
      </c>
      <c r="CR56" s="876" t="s">
        <v>148</v>
      </c>
      <c r="CS56" s="990">
        <f>$BO7+$AZ7+$AJ7+$T7+$D7+$CD7+$CS7</f>
        <v>446966.93333333312</v>
      </c>
      <c r="CT56" s="990">
        <f>$BP7+$BA7+$AK7+$U7+$E7+$CE7+$CT7</f>
        <v>442.61666666666673</v>
      </c>
      <c r="CU56" s="36">
        <f>$BQ7+$BB7+$AL7+$V7+$F7+$CF7+$CU7</f>
        <v>1493.1999999999998</v>
      </c>
      <c r="CV56" s="990">
        <f>$BR7+$BC7+$AM7+$W7+$G7+$CG7+$CV7</f>
        <v>2564</v>
      </c>
      <c r="CW56" s="785">
        <f>$BS7+$BD7+$AN7+$X7+$H7+$CH7+$CW7</f>
        <v>0</v>
      </c>
      <c r="CX56" s="1016">
        <f>$BT7+$BE7+$AO7+$Y7+$I7+$CI7+$CX7</f>
        <v>446338.74999999983</v>
      </c>
      <c r="CY56" s="930">
        <f t="shared" si="56"/>
        <v>5.7117048180257337E-3</v>
      </c>
      <c r="CZ56" s="930">
        <f t="shared" si="57"/>
        <v>0.99428829518197426</v>
      </c>
      <c r="DA56" s="990">
        <f>$BW7+$BH7+$AS7+$AC7+$M7+$CL7+$DA7</f>
        <v>451021.55</v>
      </c>
      <c r="DB56" s="990"/>
      <c r="DC56" s="1020">
        <f>$BY7+$BJ7+$AU7+$AE7+$O7+$CN7+$DC7</f>
        <v>4682.8000000001703</v>
      </c>
      <c r="DD56" s="1019"/>
      <c r="DE56" s="920"/>
      <c r="DF56" s="932">
        <v>3</v>
      </c>
      <c r="DG56" s="876" t="s">
        <v>148</v>
      </c>
      <c r="DH56" s="990">
        <f>$BO7+$AZ7+$AJ7+$T7+$D7+$CD7+$CS7+$DH7</f>
        <v>505801.79999999976</v>
      </c>
      <c r="DI56" s="990">
        <f>$BP7+$BA7+$AK7+$U7+$E7+$CE7+$CT7+$DJ7</f>
        <v>442.61666666666673</v>
      </c>
      <c r="DJ56" s="36">
        <f>$BQ7+$BB7+$AL7+$V7+$F7+$CF7+$CU7+$DJ7</f>
        <v>1493.1999999999998</v>
      </c>
      <c r="DK56" s="990">
        <f>$BR7+$BC7+$AM7+$W7+$G7+$CG7+$CV7+$DK7</f>
        <v>2564</v>
      </c>
      <c r="DL56" s="785">
        <f>$BS7+$BD7+$AN7+$X7+$H7+$CH7+$CW7+DL7</f>
        <v>0</v>
      </c>
      <c r="DM56" s="1016">
        <f>$BT7+$BE7+$AO7+$Y7+$I7+$CI7+$CX7+DM7</f>
        <v>505173.61666666646</v>
      </c>
      <c r="DN56" s="930">
        <f t="shared" si="58"/>
        <v>5.0498523564845212E-3</v>
      </c>
      <c r="DO56" s="930">
        <f t="shared" si="59"/>
        <v>0.99495014764351553</v>
      </c>
      <c r="DP56" s="990">
        <f>$BW7+$BH7+$AS7+$AC7+$M7+$CL7+$DA7+$DP7</f>
        <v>511468.21666666667</v>
      </c>
      <c r="DQ56" s="990"/>
      <c r="DR56" s="1020">
        <f>$BY7+$BJ7+$AU7+$AE7+$O7+$CN7+$DC7+$DR7</f>
        <v>6294.6000000002095</v>
      </c>
      <c r="DS56" s="1019"/>
      <c r="DT56" s="921"/>
      <c r="DU56" s="932">
        <v>3</v>
      </c>
      <c r="DV56" s="876" t="s">
        <v>148</v>
      </c>
      <c r="DW56" s="990">
        <f>$BO7+$AZ7+$AJ7+$T7+$D7+$CD7+$CS7+$DH7+$DW7</f>
        <v>569759.54999999981</v>
      </c>
      <c r="DX56" s="990">
        <f>$BP7+$BA7+$AK7+$U7+$E7+$CE7+$CT7+$DJ7+$DX7</f>
        <v>442.61666666666673</v>
      </c>
      <c r="DY56" s="36">
        <f>$BQ7+$BB7+$AL7+$V7+$F7+$CF7+$CU7+$DJ7+$DY7</f>
        <v>1493.1999999999998</v>
      </c>
      <c r="DZ56" s="990">
        <f>$BR7+$BC7+$AM7+$W7+$G7+$CG7+$CV7+$DK7+$DZ7</f>
        <v>2564</v>
      </c>
      <c r="EA56" s="785">
        <f>$BS7+$BD7+$AN7+$X7+$H7+$CH7+$CW7+$DL7+$EA7</f>
        <v>0</v>
      </c>
      <c r="EB56" s="1016">
        <f>$BT7+$BE7+$AO7+$Y7+$I7+$CI7+$CX7+$DM7+$EB7</f>
        <v>569131.36666666646</v>
      </c>
      <c r="EC56" s="930">
        <f t="shared" si="60"/>
        <v>4.4849060347465957E-3</v>
      </c>
      <c r="ED56" s="930">
        <f t="shared" si="61"/>
        <v>0.99551509396525339</v>
      </c>
      <c r="EE56" s="990">
        <f>$BW7+$BH7+$AS7+$AC7+$M7+$CL7+$DA7+$DP7+$EE7</f>
        <v>574647.06666666665</v>
      </c>
      <c r="EF56" s="990"/>
      <c r="EG56" s="1020">
        <f>$BY7+$BJ7+$AU7+$AE7+$O7+$CN7+$DC7+$DR7+$EG7</f>
        <v>5515.7000000002081</v>
      </c>
      <c r="EH56" s="1019"/>
      <c r="EI56" s="941"/>
      <c r="EJ56" s="876">
        <v>3</v>
      </c>
      <c r="EK56" s="876" t="s">
        <v>148</v>
      </c>
      <c r="EL56" s="990">
        <f>$BO7+$AZ7+$AJ7+$T7+$D7+$CD7+$CS7+$DH7+$DW7+$EL7</f>
        <v>633351.01666666649</v>
      </c>
      <c r="EM56" s="990">
        <f>$BP7+$BA7+$AK7+$U7+$E7+$CE7+$CT7+$DJ7+$DX7+$EM7</f>
        <v>442.61666666666673</v>
      </c>
      <c r="EN56" s="36">
        <f>$BQ7+$BB7+$AL7+$V7+$F7+$CF7+$CU7+$DJ7+$DY7+$EN7</f>
        <v>1493.1999999999998</v>
      </c>
      <c r="EO56" s="990">
        <f>$BR7+$BC7+$AM7+$W7+$G7+$CG7+$CV7+$DK7+$DZ7+$EO7</f>
        <v>2564</v>
      </c>
      <c r="EP56" s="785">
        <f>$BS7+$BD7+$AN7+$X7+$H7+$CH7+$CW7+$DL7+$EA7+$EP7</f>
        <v>0</v>
      </c>
      <c r="EQ56" s="1016">
        <f>$BT7+$BE7+$AO7+$Y7+$I7+$CI7+$CX7+$DM7+$EB7+$EQ7</f>
        <v>632722.83333333314</v>
      </c>
      <c r="ER56" s="930">
        <f t="shared" si="62"/>
        <v>4.0359722025825094E-3</v>
      </c>
      <c r="ES56" s="930">
        <f t="shared" si="63"/>
        <v>0.99596402779741744</v>
      </c>
      <c r="ET56" s="990">
        <f>$BW7+$BH7+$AS7+$AC7+$M7+$CL7+$DA7+$DP7+$EE7+$ET7</f>
        <v>638693.1</v>
      </c>
      <c r="EU56" s="990"/>
      <c r="EV56" s="1020">
        <f>$BY7+$BJ7+$AU7+$AE7+$O7+$CN7+$DC7+$DR7+$EG7+$EV7</f>
        <v>5970.2666666669174</v>
      </c>
      <c r="EW56" s="1019"/>
      <c r="EX56" s="925"/>
      <c r="EY56" s="932">
        <v>3</v>
      </c>
      <c r="EZ56" s="876" t="s">
        <v>148</v>
      </c>
      <c r="FA56" s="990">
        <f>$BO7+$AZ7+$AJ7+$T7+$D7+$CD7+$CS7+$DH7+$DW7+$EL7+$FA7</f>
        <v>697350.83333333314</v>
      </c>
      <c r="FB56" s="990">
        <f>$BP7+$BA7+$AK7+$U7+$E7+$CE7+$CT7+$DJ7+$DX7+$EM7+$FB7</f>
        <v>442.61666666666673</v>
      </c>
      <c r="FC56" s="36">
        <f>$BQ7+$BB7+$AL7+$V7+$F7+$CF7+$CU7+$DJ7+$DY7+$EN7+$FC7</f>
        <v>1493.1999999999998</v>
      </c>
      <c r="FD56" s="990">
        <f>$BR7+$BC7+$AM7+$W7+$G7+$CG7+$CV7+$DK7+$DZ7+$EO7+$FD7</f>
        <v>2564</v>
      </c>
      <c r="FE56" s="785">
        <f>$BS7+$BD7+$AN7+$X7+$H7+$CH7+$CW7+$DL7+$EA7+$EP7+$FE7</f>
        <v>0</v>
      </c>
      <c r="FF56" s="1016">
        <f>$BT7+$BE7+$AO7+$Y7+$I7+$CI7+$CX7+$DM7+$EB7+$EQ7+$FF7</f>
        <v>696722.64999999979</v>
      </c>
      <c r="FG56" s="930">
        <f t="shared" si="67"/>
        <v>3.6665936637000018E-3</v>
      </c>
      <c r="FH56" s="930">
        <f t="shared" si="64"/>
        <v>0.99633340633629996</v>
      </c>
      <c r="FI56" s="990">
        <f>$BW7+$BH7+$AS7+$AC7+$M7+$CL7+$DA7+$DP7+$EE7+$ET7+$FI7</f>
        <v>704309.95</v>
      </c>
      <c r="FJ56" s="990"/>
      <c r="FK56" s="1020">
        <f>$BY7+$BJ7+$AU7+$AE7+$O7+$CN7+$DC7+$DR7+$EG7+$EV7+$FK7</f>
        <v>7587.3000000002939</v>
      </c>
      <c r="FL56" s="1019"/>
      <c r="FM56" s="927"/>
      <c r="FN56" s="932">
        <v>3</v>
      </c>
      <c r="FO56" s="876" t="s">
        <v>148</v>
      </c>
      <c r="FP56" s="990">
        <f>$BO7+$AZ7+$AJ7+$T7+$D7+$CD7+$CS7+$DH7+$DW7+$EL7+$FA7+$FP7</f>
        <v>759769.19999999972</v>
      </c>
      <c r="FQ56" s="990">
        <f>$BP7+$BA7+$AK7+$U7+$E7+$CE7+$CT7+DI7+$DX7+$EM7+$FB7+$FQ7</f>
        <v>442.61666666666673</v>
      </c>
      <c r="FR56" s="36">
        <f>$BQ7+$BB7+$AL7+$V7+$F7+$CF7+$CU7+$DJ7+$DY7+$EN7+$FC7+$FR7</f>
        <v>1493.1999999999998</v>
      </c>
      <c r="FS56" s="990">
        <f>$BR7+$BC7+$AM7+$W7+$G7+$CG7+$CV7+$DK7+$DZ7+$EO7+$FD7+$FS7</f>
        <v>2564</v>
      </c>
      <c r="FT56" s="785">
        <f>$BS7+$BD7+$AN7+$X7+$H7+$CH7+$CW7+$DL7+$EA7+$EP7+$FE7+$FT7</f>
        <v>0</v>
      </c>
      <c r="FU56" s="1016">
        <f>$BT7+$BE7+$AO7+$Y7+$I7+$CI7+$CX7+$DM7+$EB7+$EQ7+$FF7+$FU7</f>
        <v>759141.01666666637</v>
      </c>
      <c r="FV56" s="930">
        <f t="shared" si="65"/>
        <v>3.3661324842265612E-3</v>
      </c>
      <c r="FW56" s="930">
        <f t="shared" si="66"/>
        <v>0.99663386751577343</v>
      </c>
      <c r="FX56" s="990">
        <f>$BW7+$BH7+$AS7+$AC7+$M7+$CL7+$DA7+$DP7+$EE7+$ET7+$FI7+$FX7</f>
        <v>765946.79999999993</v>
      </c>
      <c r="FY56" s="990"/>
      <c r="FZ56" s="1020">
        <f>$BY7+$BJ7+$AU7+$AE7+$O7+$CN7+$DC7+$DR7+$EG7+$EV7+$FK7+$FZ7</f>
        <v>6805.783333333653</v>
      </c>
      <c r="GA56" s="1019"/>
    </row>
    <row r="57" spans="1:183">
      <c r="A57" s="906"/>
      <c r="B57" s="876"/>
      <c r="C57" s="876"/>
      <c r="D57" s="990"/>
      <c r="E57" s="990"/>
      <c r="F57" s="59"/>
      <c r="G57" s="106"/>
      <c r="H57" s="785"/>
      <c r="I57" s="1016"/>
      <c r="J57" s="1017"/>
      <c r="K57" s="930"/>
      <c r="L57" s="930"/>
      <c r="M57" s="990"/>
      <c r="N57" s="990"/>
      <c r="O57" s="1018"/>
      <c r="P57" s="1019"/>
      <c r="Q57" s="909"/>
      <c r="R57" s="932"/>
      <c r="S57" s="876"/>
      <c r="T57" s="990"/>
      <c r="U57" s="990"/>
      <c r="V57" s="24"/>
      <c r="W57" s="990"/>
      <c r="X57" s="785"/>
      <c r="Y57" s="1016"/>
      <c r="Z57" s="1017"/>
      <c r="AA57" s="930"/>
      <c r="AB57" s="930"/>
      <c r="AC57" s="990"/>
      <c r="AD57" s="990"/>
      <c r="AE57" s="1018"/>
      <c r="AF57" s="1019"/>
      <c r="AG57" s="911"/>
      <c r="AH57" s="876"/>
      <c r="AI57" s="876"/>
      <c r="AJ57" s="990"/>
      <c r="AK57" s="990"/>
      <c r="AL57" s="24"/>
      <c r="AM57" s="990"/>
      <c r="AN57" s="785"/>
      <c r="AO57" s="1016"/>
      <c r="AP57" s="1017"/>
      <c r="AQ57" s="930"/>
      <c r="AR57" s="930"/>
      <c r="AS57" s="990"/>
      <c r="AT57" s="990"/>
      <c r="AU57" s="1018"/>
      <c r="AV57" s="1019"/>
      <c r="AW57" s="913"/>
      <c r="AX57" s="876"/>
      <c r="AY57" s="876"/>
      <c r="AZ57" s="990"/>
      <c r="BA57" s="990"/>
      <c r="BB57" s="24"/>
      <c r="BC57" s="990"/>
      <c r="BD57" s="785"/>
      <c r="BE57" s="1016"/>
      <c r="BF57" s="930"/>
      <c r="BG57" s="930"/>
      <c r="BH57" s="990"/>
      <c r="BI57" s="990"/>
      <c r="BJ57" s="1018"/>
      <c r="BK57" s="1019"/>
      <c r="BL57" s="914"/>
      <c r="BM57" s="932"/>
      <c r="BN57" s="876"/>
      <c r="BO57" s="990"/>
      <c r="BP57" s="990"/>
      <c r="BQ57" s="36"/>
      <c r="BR57" s="990"/>
      <c r="BS57" s="785"/>
      <c r="BT57" s="1016"/>
      <c r="BU57" s="930"/>
      <c r="BV57" s="930"/>
      <c r="BW57" s="990"/>
      <c r="BX57" s="990"/>
      <c r="BY57" s="1020"/>
      <c r="BZ57" s="1019"/>
      <c r="CA57" s="915"/>
      <c r="CB57" s="876"/>
      <c r="CC57" s="876"/>
      <c r="CD57" s="990"/>
      <c r="CE57" s="990"/>
      <c r="CF57" s="36"/>
      <c r="CG57" s="990"/>
      <c r="CH57" s="785"/>
      <c r="CI57" s="1016"/>
      <c r="CJ57" s="930"/>
      <c r="CK57" s="930"/>
      <c r="CL57" s="990"/>
      <c r="CM57" s="990"/>
      <c r="CN57" s="1020"/>
      <c r="CO57" s="1019"/>
      <c r="CP57" s="919"/>
      <c r="CQ57" s="876"/>
      <c r="CR57" s="876"/>
      <c r="CS57" s="990"/>
      <c r="CT57" s="990"/>
      <c r="CU57" s="36"/>
      <c r="CV57" s="990"/>
      <c r="CW57" s="785"/>
      <c r="CX57" s="1016"/>
      <c r="CY57" s="930"/>
      <c r="CZ57" s="930"/>
      <c r="DA57" s="990"/>
      <c r="DB57" s="990"/>
      <c r="DC57" s="1020"/>
      <c r="DD57" s="1019"/>
      <c r="DE57" s="920"/>
      <c r="DF57" s="932"/>
      <c r="DG57" s="876"/>
      <c r="DH57" s="990"/>
      <c r="DI57" s="990"/>
      <c r="DJ57" s="36"/>
      <c r="DK57" s="990"/>
      <c r="DL57" s="785"/>
      <c r="DM57" s="1016"/>
      <c r="DN57" s="930"/>
      <c r="DO57" s="930"/>
      <c r="DP57" s="990"/>
      <c r="DQ57" s="990"/>
      <c r="DR57" s="1020"/>
      <c r="DS57" s="1019"/>
      <c r="DT57" s="921"/>
      <c r="DU57" s="932"/>
      <c r="DV57" s="876"/>
      <c r="DW57" s="990"/>
      <c r="DX57" s="990"/>
      <c r="DY57" s="36"/>
      <c r="DZ57" s="990"/>
      <c r="EA57" s="785"/>
      <c r="EB57" s="1016"/>
      <c r="EC57" s="930"/>
      <c r="ED57" s="930"/>
      <c r="EE57" s="990"/>
      <c r="EF57" s="990"/>
      <c r="EG57" s="1020"/>
      <c r="EH57" s="1019"/>
      <c r="EI57" s="941"/>
      <c r="EJ57" s="876"/>
      <c r="EK57" s="876"/>
      <c r="EL57" s="990"/>
      <c r="EM57" s="990"/>
      <c r="EN57" s="36"/>
      <c r="EO57" s="990"/>
      <c r="EP57" s="785"/>
      <c r="EQ57" s="1016"/>
      <c r="ER57" s="930"/>
      <c r="ES57" s="930"/>
      <c r="ET57" s="990"/>
      <c r="EU57" s="990"/>
      <c r="EV57" s="1020"/>
      <c r="EW57" s="1019"/>
      <c r="EX57" s="925"/>
      <c r="EY57" s="932"/>
      <c r="EZ57" s="876"/>
      <c r="FA57" s="990"/>
      <c r="FB57" s="990"/>
      <c r="FC57" s="36"/>
      <c r="FD57" s="990"/>
      <c r="FE57" s="785"/>
      <c r="FF57" s="1016"/>
      <c r="FG57" s="930"/>
      <c r="FH57" s="930"/>
      <c r="FI57" s="990"/>
      <c r="FJ57" s="990"/>
      <c r="FK57" s="1020"/>
      <c r="FL57" s="1019"/>
      <c r="FM57" s="927"/>
      <c r="FN57" s="932"/>
      <c r="FO57" s="876"/>
      <c r="FP57" s="990"/>
      <c r="FQ57" s="990"/>
      <c r="FR57" s="36"/>
      <c r="FS57" s="990"/>
      <c r="FT57" s="785"/>
      <c r="FU57" s="1016"/>
      <c r="FV57" s="930"/>
      <c r="FW57" s="930"/>
      <c r="FX57" s="990"/>
      <c r="FY57" s="990"/>
      <c r="FZ57" s="1020"/>
      <c r="GA57" s="1019"/>
    </row>
    <row r="58" spans="1:183">
      <c r="A58" s="906"/>
      <c r="B58" s="876">
        <v>4</v>
      </c>
      <c r="C58" s="1" t="s">
        <v>149</v>
      </c>
      <c r="D58" s="22">
        <f>SUM($D$9:D9)</f>
        <v>105723.95000000001</v>
      </c>
      <c r="E58" s="22">
        <f>SUM(E9:E9)</f>
        <v>392.53333333333342</v>
      </c>
      <c r="F58" s="56">
        <f t="shared" ref="F58:J60" si="68">F9</f>
        <v>0</v>
      </c>
      <c r="G58" s="38">
        <f t="shared" si="68"/>
        <v>816</v>
      </c>
      <c r="H58" s="25">
        <f t="shared" si="68"/>
        <v>0</v>
      </c>
      <c r="I58" s="21">
        <f t="shared" si="68"/>
        <v>105300.48333333334</v>
      </c>
      <c r="J58" s="69">
        <f t="shared" si="68"/>
        <v>98279</v>
      </c>
      <c r="K58" s="33">
        <f>(G58-H58)/(D58+E58+F58)</f>
        <v>7.689663041666947E-3</v>
      </c>
      <c r="L58" s="33">
        <f>1-((G58-H58)/(D58+E58+F58))</f>
        <v>0.99231033695833304</v>
      </c>
      <c r="M58" s="22">
        <f t="shared" ref="M58:N60" si="69">M9</f>
        <v>106771</v>
      </c>
      <c r="N58" s="22">
        <f t="shared" si="69"/>
        <v>848</v>
      </c>
      <c r="O58" s="34">
        <f>SUM(O59:O60)</f>
        <v>1470.5166666666628</v>
      </c>
      <c r="P58" s="35">
        <f>M9+N9-I9</f>
        <v>2318.5166666666628</v>
      </c>
      <c r="Q58" s="909"/>
      <c r="R58" s="932">
        <v>4</v>
      </c>
      <c r="S58" s="1" t="s">
        <v>149</v>
      </c>
      <c r="T58" s="22">
        <f t="shared" ref="T58:X60" si="70">T9+D9</f>
        <v>211935.1</v>
      </c>
      <c r="U58" s="22">
        <f t="shared" si="70"/>
        <v>459.10000000000008</v>
      </c>
      <c r="V58" s="54">
        <f t="shared" si="70"/>
        <v>157.19999999999999</v>
      </c>
      <c r="W58" s="38">
        <f t="shared" si="70"/>
        <v>1564</v>
      </c>
      <c r="X58" s="25">
        <f t="shared" si="70"/>
        <v>0</v>
      </c>
      <c r="Y58" s="21">
        <f t="shared" ref="Y58:Z60" si="71">Y9+I9</f>
        <v>210987.4</v>
      </c>
      <c r="Z58" s="69">
        <f t="shared" si="71"/>
        <v>204888</v>
      </c>
      <c r="AA58" s="33">
        <f t="shared" si="41"/>
        <v>7.3582201763902743E-3</v>
      </c>
      <c r="AB58" s="33">
        <f t="shared" si="42"/>
        <v>0.99264177982360968</v>
      </c>
      <c r="AC58" s="22">
        <f t="shared" ref="AC58:AD60" si="72">AC9+M9</f>
        <v>214007</v>
      </c>
      <c r="AD58" s="22">
        <f t="shared" si="72"/>
        <v>1696</v>
      </c>
      <c r="AE58" s="34">
        <f>SUM(AE59:AE60)</f>
        <v>3019.5999999999985</v>
      </c>
      <c r="AF58" s="35">
        <f>AC9+AD9-Y9+M9+N9-I9</f>
        <v>4715.6000000000058</v>
      </c>
      <c r="AG58" s="911"/>
      <c r="AH58" s="876">
        <v>4</v>
      </c>
      <c r="AI58" s="1" t="s">
        <v>149</v>
      </c>
      <c r="AJ58" s="22">
        <f t="shared" ref="AJ58:AN60" si="73">AJ9+T9+D9</f>
        <v>312175.01666666666</v>
      </c>
      <c r="AK58" s="22">
        <f t="shared" si="73"/>
        <v>516.88333333333344</v>
      </c>
      <c r="AL58" s="54">
        <f t="shared" si="73"/>
        <v>282.54999999999995</v>
      </c>
      <c r="AM58" s="38">
        <f t="shared" si="73"/>
        <v>2413</v>
      </c>
      <c r="AN58" s="25">
        <f t="shared" si="73"/>
        <v>0</v>
      </c>
      <c r="AO58" s="21">
        <f t="shared" ref="AO58:AP60" si="74">AO9+Y9+I9</f>
        <v>310561.44999999995</v>
      </c>
      <c r="AP58" s="69">
        <f t="shared" si="74"/>
        <v>204888</v>
      </c>
      <c r="AQ58" s="33">
        <f t="shared" si="46"/>
        <v>7.7098945297291834E-3</v>
      </c>
      <c r="AR58" s="33">
        <f t="shared" si="47"/>
        <v>0.99229010547027086</v>
      </c>
      <c r="AS58" s="22">
        <f t="shared" ref="AS58:AT60" si="75">AS9+AC9+M9</f>
        <v>314837</v>
      </c>
      <c r="AT58" s="22">
        <f t="shared" si="75"/>
        <v>2544</v>
      </c>
      <c r="AU58" s="34">
        <f>SUM(AU59:AU60)</f>
        <v>4275.5500000000102</v>
      </c>
      <c r="AV58" s="35">
        <f>AS9+AT9-AO9+AC9+AD9-Y9+M9+N9-I9</f>
        <v>6819.5500000000175</v>
      </c>
      <c r="AW58" s="913"/>
      <c r="AX58" s="876">
        <v>4</v>
      </c>
      <c r="AY58" s="1" t="s">
        <v>149</v>
      </c>
      <c r="AZ58" s="22">
        <f t="shared" ref="AZ58:BE60" si="76">AZ9+AJ9+T9+D9</f>
        <v>420253.75</v>
      </c>
      <c r="BA58" s="22">
        <f t="shared" si="76"/>
        <v>538.01666666666677</v>
      </c>
      <c r="BB58" s="54">
        <f t="shared" si="76"/>
        <v>640.85000000000014</v>
      </c>
      <c r="BC58" s="38">
        <f t="shared" si="76"/>
        <v>3226</v>
      </c>
      <c r="BD58" s="25">
        <f t="shared" si="76"/>
        <v>0</v>
      </c>
      <c r="BE58" s="21">
        <f t="shared" si="76"/>
        <v>418206.61666666664</v>
      </c>
      <c r="BF58" s="33">
        <f t="shared" si="50"/>
        <v>7.6548417764057738E-3</v>
      </c>
      <c r="BG58" s="33">
        <f t="shared" si="51"/>
        <v>0.99234515822359426</v>
      </c>
      <c r="BH58" s="22">
        <f>BH9+AS9+AC9+M9</f>
        <v>423548</v>
      </c>
      <c r="BI58" s="22">
        <f>BI9+AT9+AD9+N9</f>
        <v>3392</v>
      </c>
      <c r="BJ58" s="34">
        <f>SUM(BJ59:BJ60)</f>
        <v>5341.3833333333387</v>
      </c>
      <c r="BK58" s="35">
        <f>M9+N9-I9+BH9+BI9-BE9+AS9+AT9-AO9+AC9+AD9-Y9</f>
        <v>8733.3833333333459</v>
      </c>
      <c r="BL58" s="914"/>
      <c r="BM58" s="932">
        <v>4</v>
      </c>
      <c r="BN58" s="1" t="s">
        <v>149</v>
      </c>
      <c r="BO58" s="22">
        <f>$BO9+$AZ9+$AJ9+$T9+$D9</f>
        <v>520954.7</v>
      </c>
      <c r="BP58" s="22">
        <f>$BP9+$BA9+$AK9+$U9+$E9</f>
        <v>538.01666666666677</v>
      </c>
      <c r="BQ58" s="37">
        <f>$BQ9+$BB9+$AL9+$V9+$F9</f>
        <v>640.85000000000014</v>
      </c>
      <c r="BR58" s="38">
        <f>$BR9+$BC9+$AM9+$W9+$G9</f>
        <v>3226</v>
      </c>
      <c r="BS58" s="25">
        <f>$BS9+$BD9+$AN9+$X9+$H9</f>
        <v>0</v>
      </c>
      <c r="BT58" s="21">
        <f>$BT9+$BE9+$AO9+$Y9+$I9</f>
        <v>518907.56666666659</v>
      </c>
      <c r="BU58" s="33">
        <f t="shared" si="52"/>
        <v>6.1784957067498756E-3</v>
      </c>
      <c r="BV58" s="33">
        <f t="shared" si="53"/>
        <v>0.99382150429325011</v>
      </c>
      <c r="BW58" s="22">
        <f>$BW9+$BH9+$AS9+$AC9+$M9</f>
        <v>524894.66666666674</v>
      </c>
      <c r="BX58" s="22">
        <f>$BX9+$BI9+$AT9+$AD9+$N9</f>
        <v>4240</v>
      </c>
      <c r="BY58" s="34">
        <f>SUM(BY59:BY60)</f>
        <v>5987.1000000000131</v>
      </c>
      <c r="BZ58" s="35">
        <f>$AC9+$AD9-$Y9+$BW9+$BX9-$BT9+$BH9+$BI9-$BE9+$AS9+$AT9-$AO9+$M9+$N9-$I9</f>
        <v>10227.10000000002</v>
      </c>
      <c r="CA58" s="915"/>
      <c r="CB58" s="876">
        <v>4</v>
      </c>
      <c r="CC58" s="1" t="s">
        <v>149</v>
      </c>
      <c r="CD58" s="22">
        <f>$BO9+$AZ9+$AJ9+$T9+$D9+$CD9</f>
        <v>625040.21666666667</v>
      </c>
      <c r="CE58" s="22">
        <f>$BP9+$BA9+$AK9+$U9+$E9+$CE9</f>
        <v>538.01666666666677</v>
      </c>
      <c r="CF58" s="37">
        <f>$BQ9+$BB9+$AL9+$V9+$F9+$CF9</f>
        <v>640.85000000000014</v>
      </c>
      <c r="CG58" s="38">
        <f>$BR9+$BC9+$AM9+$W9+$G9+$CG9</f>
        <v>3226</v>
      </c>
      <c r="CH58" s="25">
        <f>$BS9+$BD9+$AN9+$X9+$H9+$CH9</f>
        <v>0</v>
      </c>
      <c r="CI58" s="21">
        <f>$BT9+$BE9+$AO9+$Y9+$I9+$CI9</f>
        <v>622993.08333333326</v>
      </c>
      <c r="CJ58" s="33">
        <f t="shared" si="54"/>
        <v>5.1515517266388002E-3</v>
      </c>
      <c r="CK58" s="33">
        <f t="shared" si="55"/>
        <v>0.99484844827336116</v>
      </c>
      <c r="CL58" s="22">
        <f>$BW9+$BH9+$AS9+$AC9+$M9+$CL9</f>
        <v>629704.06666666677</v>
      </c>
      <c r="CM58" s="22">
        <f>$BX9+$BI9+$AT9+$AD9+$N9+$CM9</f>
        <v>5088</v>
      </c>
      <c r="CN58" s="34">
        <f>SUM(CN59:CN60)</f>
        <v>6710.9833333333445</v>
      </c>
      <c r="CO58" s="35">
        <f>$AC9+$AD9-$Y9+$BW9+$BX9-$BT9+$BH9+$BI9-$BE9+$AS9+$AT9-$AO9+$M9+$N9-$I9+$CL9+$CM9-$CI9</f>
        <v>11798.983333333352</v>
      </c>
      <c r="CP58" s="919"/>
      <c r="CQ58" s="876">
        <v>4</v>
      </c>
      <c r="CR58" s="1" t="s">
        <v>149</v>
      </c>
      <c r="CS58" s="22">
        <f>$BO9+$AZ9+$AJ9+$T9+$D9+$CD9+$CS9</f>
        <v>731045.71666666667</v>
      </c>
      <c r="CT58" s="22">
        <f>$BP9+$BA9+$AK9+$U9+$E9+$CE9+$CT9</f>
        <v>538.01666666666677</v>
      </c>
      <c r="CU58" s="37">
        <f>$BQ9+$BB9+$AL9+$V9+$F9+$CF9+$CU9</f>
        <v>640.85000000000014</v>
      </c>
      <c r="CV58" s="38">
        <f>$BR9+$BC9+$AM9+$W9+$G9+$CG9+$CV9</f>
        <v>3226</v>
      </c>
      <c r="CW58" s="25">
        <f>$BS9+$BD9+$AN9+$X9+$H9+$CH9+$CW9</f>
        <v>0</v>
      </c>
      <c r="CX58" s="21">
        <f>$BT9+$BE9+$AO9+$Y9+$I9+$CI9+$CX9</f>
        <v>728998.58333333326</v>
      </c>
      <c r="CY58" s="33">
        <f t="shared" si="56"/>
        <v>4.4057521058828144E-3</v>
      </c>
      <c r="CZ58" s="33">
        <f t="shared" si="57"/>
        <v>0.99559424789411721</v>
      </c>
      <c r="DA58" s="22">
        <f>$BW9+$BH9+$AS9+$AC9+$M9+$CL9+$DA9</f>
        <v>736448.20000000007</v>
      </c>
      <c r="DB58" s="22">
        <f>$BX9+$BI9+$AT9+$AD9+$N9+$CM9+$DB9</f>
        <v>5936</v>
      </c>
      <c r="DC58" s="34">
        <f>SUM(DC59:DC60)</f>
        <v>7449.616666666705</v>
      </c>
      <c r="DD58" s="35">
        <f>$AC9+$AD9-$Y9+$BW9+$BX9-$BT9+$BH9+$BI9-$BE9+$AS9+$AT9-$AO9+$M9+$N9-$I9+$CL9+$CM9-$CI9+$DA9+$DB9-$CX9</f>
        <v>13385.616666666712</v>
      </c>
      <c r="DE58" s="920"/>
      <c r="DF58" s="932">
        <v>4</v>
      </c>
      <c r="DG58" s="1" t="s">
        <v>149</v>
      </c>
      <c r="DH58" s="22">
        <f>$BO9+$AZ9+$AJ9+$T9+$D9+$CD9+$CS9+$DH9</f>
        <v>827313.71666666667</v>
      </c>
      <c r="DI58" s="22">
        <f>$BP9+$BA9+$AK9+$U9+$E9+$CE9+$CT9+$DJ9</f>
        <v>538.01666666666677</v>
      </c>
      <c r="DJ58" s="37">
        <f>$BQ9+$BB9+$AL9+$V9+$F9+$CF9+$CU9+$DJ9</f>
        <v>640.85000000000014</v>
      </c>
      <c r="DK58" s="38">
        <f>$BR9+$BC9+$AM9+$W9+$G9+$CG9+$CV9+$DK9</f>
        <v>3226</v>
      </c>
      <c r="DL58" s="25">
        <f>$BS9+$BD9+$AN9+$X9+$H9+$CH9+$CW9+DL9</f>
        <v>0</v>
      </c>
      <c r="DM58" s="21">
        <f>$BT9+$BE9+$AO9+$Y9+$I9+$CI9+$CX9+DM9</f>
        <v>825266.58333333326</v>
      </c>
      <c r="DN58" s="33">
        <f t="shared" si="58"/>
        <v>3.8938188040508509E-3</v>
      </c>
      <c r="DO58" s="33">
        <f t="shared" si="59"/>
        <v>0.99610618119594918</v>
      </c>
      <c r="DP58" s="22">
        <f>$BW9+$BH9+$AS9+$AC9+$M9+$CL9+$DA9+$DP9</f>
        <v>835294.8666666667</v>
      </c>
      <c r="DQ58" s="22">
        <f>$BX9+$BI9+$AT9+$AD9+$N9+$CM9+$DB9+$DQ9</f>
        <v>6784</v>
      </c>
      <c r="DR58" s="34">
        <f>SUM(DR59:DR60)</f>
        <v>10028.283333333384</v>
      </c>
      <c r="DS58" s="35">
        <f>$AC9+$AD9-$Y9+$BW9+$BX9-$BT9+$BH9+$BI9-$BE9+$AS9+$AT9-$AO9+$M9+$N9-$I9+$CL9+$CM9-$CI9+$DA9+$DB9-$CX9+$DP9+$DQ9-$DM9</f>
        <v>16812.283333333384</v>
      </c>
      <c r="DT58" s="921"/>
      <c r="DU58" s="932">
        <v>4</v>
      </c>
      <c r="DV58" s="1" t="s">
        <v>149</v>
      </c>
      <c r="DW58" s="22">
        <f>$BO9+$AZ9+$AJ9+$T9+$D9+$CD9+$CS9+$DH9+$DW9</f>
        <v>931905.81666666665</v>
      </c>
      <c r="DX58" s="22">
        <f>$BP9+$BA9+$AK9+$U9+$E9+$CE9+$CT9+$DJ9+$DX9</f>
        <v>538.01666666666677</v>
      </c>
      <c r="DY58" s="37">
        <f>$BQ9+$BB9+$AL9+$V9+$F9+$CF9+$CU9+$DJ9+$DY9</f>
        <v>640.85000000000014</v>
      </c>
      <c r="DZ58" s="38">
        <f>$BR9+$BC9+$AM9+$W9+$G9+$CG9+$CV9+$DK9+$DZ9</f>
        <v>3226</v>
      </c>
      <c r="EA58" s="785">
        <f>$BS9+$BD9+$AN9+$X9+$H9+$CH9+$CW9+$DL9+$EA9</f>
        <v>0</v>
      </c>
      <c r="EB58" s="21">
        <f>$BT9+$BE9+$AO9+$Y9+$I9+$CI9+$CX9+$DM9+$EB9</f>
        <v>929858.68333333323</v>
      </c>
      <c r="EC58" s="33">
        <f t="shared" si="60"/>
        <v>3.4573496464174089E-3</v>
      </c>
      <c r="ED58" s="33">
        <f t="shared" si="61"/>
        <v>0.99654265035358258</v>
      </c>
      <c r="EE58" s="22">
        <f>$BW9+$BH9+$AS9+$AC9+$M9+$CL9+$DA9+$DP9+$EE9</f>
        <v>938578.26666666672</v>
      </c>
      <c r="EF58" s="22">
        <f>$BX9+$BI9+$AT9+$AD9+$N9+$CM9+$DB9+$DQ9+$EF9</f>
        <v>7632</v>
      </c>
      <c r="EG58" s="34">
        <f>SUM(EG59:EG60)</f>
        <v>8719.5833333333867</v>
      </c>
      <c r="EH58" s="35">
        <f>$AC9+$AD9-$Y9+$BW9+$BX9-$BT9+$BH9+$BI9-$BE9+$AS9+$AT9-$AO9+$M9+$N9-$I9+$CL9+$CM9-$CI9+$DA9+$DB9-$CX9+$DP9+$DQ9-$DM9+$EE9+$EF9-$EB9</f>
        <v>16351.583333333372</v>
      </c>
      <c r="EI58" s="941"/>
      <c r="EJ58" s="876">
        <v>4</v>
      </c>
      <c r="EK58" s="1" t="s">
        <v>149</v>
      </c>
      <c r="EL58" s="22">
        <f>$BO9+$AZ9+$AJ9+$T9+$D9+$CD9+$CS9+$DH9+$DW9+$EL9</f>
        <v>1035962.6333333333</v>
      </c>
      <c r="EM58" s="22">
        <f>$BP9+$BA9+$AK9+$U9+$E9+$CE9+$CT9+$DJ9+$DX9+$EM9</f>
        <v>538.01666666666677</v>
      </c>
      <c r="EN58" s="37">
        <f>$BQ9+$BB9+$AL9+$V9+$F9+$CF9+$CU9+$DJ9+$DY9+$EN9</f>
        <v>640.85000000000014</v>
      </c>
      <c r="EO58" s="38">
        <f>$BR9+$BC9+$AM9+$W9+$G9+$CG9+$CV9+$DK9+$DZ9+$EO9</f>
        <v>3226</v>
      </c>
      <c r="EP58" s="785">
        <f>$BS9+$BD9+$AN9+$X9+$H9+$CH9+$CW9+$DL9+$EA9+$EP9</f>
        <v>0</v>
      </c>
      <c r="EQ58" s="21">
        <f>$BT9+$BE9+$AO9+$Y9+$I9+$CI9+$CX9+$DM9+$EB9+$EQ9</f>
        <v>1033915.4999999999</v>
      </c>
      <c r="ER58" s="33">
        <f t="shared" si="62"/>
        <v>3.110472389736598E-3</v>
      </c>
      <c r="ES58" s="33">
        <f t="shared" si="63"/>
        <v>0.99688952761026339</v>
      </c>
      <c r="ET58" s="22">
        <f>$BW9+$BH9+$AS9+$AC9+$M9+$CL9+$DA9+$DP9+$EE9+$ET9</f>
        <v>1043368.4</v>
      </c>
      <c r="EU58" s="22">
        <f>$BX9+$BI9+$AT9+$AD9+$N9+$CM9+$DB9+$DQ9+$EF9+$EU9</f>
        <v>8480</v>
      </c>
      <c r="EV58" s="34">
        <f>SUM(EV59:EV60)</f>
        <v>9452.9000000000669</v>
      </c>
      <c r="EW58" s="35">
        <f>$AC9+$AD9-$Y9+$BW9+$BX9-$BT9+$BH9+$BI9-$BE9+$AS9+$AT9-$AO9+$M9+$N9-$I9+$CL9+$CM9-$CI9+$DA9+$DB9-$CX9+$DP9+$DQ9-$DM9+$EE9+$EF9-$EB9+$ET9+$EU9-$EQ9</f>
        <v>17932.900000000052</v>
      </c>
      <c r="EX58" s="925"/>
      <c r="EY58" s="932">
        <v>4</v>
      </c>
      <c r="EZ58" s="1" t="s">
        <v>149</v>
      </c>
      <c r="FA58" s="22">
        <f>$BO9+$AZ9+$AJ9+$T9+$D9+$CD9+$CS9+$DH9+$DW9+$EL9+$FA9</f>
        <v>1140649.1666666665</v>
      </c>
      <c r="FB58" s="22">
        <f>$BP9+$BA9+$AK9+$U9+$E9+$CE9+$CT9+$DJ9+$DX9+$EM9+$FB9</f>
        <v>538.01666666666677</v>
      </c>
      <c r="FC58" s="37">
        <f>$BQ9+$BB9+$AL9+$V9+$F9+$CF9+$CU9+$DJ9+$DY9+$EN9+$FC9</f>
        <v>640.85000000000014</v>
      </c>
      <c r="FD58" s="38">
        <f>$BR9+$BC9+$AM9+$W9+$G9+$CG9+$CV9+$DK9+$DZ9+$EO9+$FD9</f>
        <v>3226</v>
      </c>
      <c r="FE58" s="785">
        <f>$BS9+$BD9+$AN9+$X9+$H9+$CH9+$CW9+$DL9+$EA9+$EP9+$FE9</f>
        <v>0</v>
      </c>
      <c r="FF58" s="21">
        <f>$BT9+$BE9+$AO9+$Y9+$I9+$CI9+$CX9+$DM9+$EB9+$EQ9+$FF9</f>
        <v>1138602.0333333332</v>
      </c>
      <c r="FG58" s="33">
        <f t="shared" si="67"/>
        <v>2.8252940949280718E-3</v>
      </c>
      <c r="FH58" s="33">
        <f t="shared" si="64"/>
        <v>0.99717470590507196</v>
      </c>
      <c r="FI58" s="22">
        <f>$BW9+$BH9+$AS9+$AC9+$M9+$CL9+$DA9+$DP9+$EE9+$ET9+$FI9</f>
        <v>1150648.8</v>
      </c>
      <c r="FJ58" s="22">
        <f>$BX9+$BI9+$AT9+$AD9+$N9+$CM9+$DB9+$DQ9+$EF9+$EU9+$FJ9</f>
        <v>9328</v>
      </c>
      <c r="FK58" s="34">
        <f>SUM(FK59:FK60)</f>
        <v>12046.76666666675</v>
      </c>
      <c r="FL58" s="35">
        <f>$AC9+$AD9-$Y9+$BW9+$BX9-$BT9+$BH9+$BI9-$BE9+$AS9+$AT9-$AO9+$M9+$N9-$I9+$CL9+$CM9-$CI9+$DA9+$DB9-$CX9+$DP9+$DQ9-$DM9+$EE9+$EF9-$EB9+$ET9+$EU9-$EQ9+$FI9+$FJ9-$FF9</f>
        <v>21374.766666666721</v>
      </c>
      <c r="FM58" s="927"/>
      <c r="FN58" s="932">
        <v>4</v>
      </c>
      <c r="FO58" s="1" t="s">
        <v>149</v>
      </c>
      <c r="FP58" s="22">
        <f>$BO9+$AZ9+$AJ9+$T9+$D9+$CD9+$CS9+$DH9+$DW9+$EL9+$FA9+$FP9</f>
        <v>1242769.0499999998</v>
      </c>
      <c r="FQ58" s="22">
        <f>$BP9+$BA9+$AK9+$U9+$E9+$CE9+$CT9+$DI9+$DX9+$EM9+$FB9+$FQ9</f>
        <v>538.01666666666677</v>
      </c>
      <c r="FR58" s="37">
        <f>$BQ9+$BB9+$AL9+$V9+$F9+$CF9+$CU9+$DJ9+$DY9+$EN9+$FC9+$FR9</f>
        <v>640.85000000000014</v>
      </c>
      <c r="FS58" s="38">
        <f>$BR9+$BC9+$AM9+$W9+$G9+$CG9+$CV9+$DK9+$DZ9+$EO9+$FD9+$FS9</f>
        <v>3226</v>
      </c>
      <c r="FT58" s="785">
        <f>$BS9+$BD9+$AN9+$X9+$H9+$CH9+$CW9+$DL9+$EA9+$EP9+$FE9+$FT9</f>
        <v>0</v>
      </c>
      <c r="FU58" s="21">
        <f>$BT9+$BE9+$AO9+$Y9+$I9+$CI9+$CX9+$DM9+$EB9+$EQ9+$FF9+$FU9</f>
        <v>1240721.9166666665</v>
      </c>
      <c r="FV58" s="33">
        <f t="shared" si="65"/>
        <v>2.5933561661042217E-3</v>
      </c>
      <c r="FW58" s="33">
        <f t="shared" si="66"/>
        <v>0.99740664383389577</v>
      </c>
      <c r="FX58" s="22">
        <f>$BW9+$BH9+$AS9+$AC9+$M9+$CL9+$DA9+$DP9+$EE9+$ET9+$FI9+$FX9</f>
        <v>1251488.2</v>
      </c>
      <c r="FY58" s="22">
        <f>$BX9+$BI9+$AT9+$AD9+$N9+$CM9+$DB9+$DQ9+$EF9+$EU9+$FJ9+$FY9</f>
        <v>10176</v>
      </c>
      <c r="FZ58" s="34">
        <f>SUM(FZ59:FZ60)</f>
        <v>10766.28333333342</v>
      </c>
      <c r="GA58" s="35">
        <f>$AC9+$AD9-$Y9+$BW9+$BX9-$BT9+$BH9+$BI9-$BE9+$AS9+$AT9-$AO9+$M9+$N9-$I9+$CL9+$CM9-$CI9+$DA9+$DB9-$CX9+$DP9+$DQ9-$DM9+$EE9+$EF9-$EB9+$ET9+$EU9-$EQ9+$FI9+$FJ9-$FF9+$FX9+$FY9-$FU9</f>
        <v>20942.283333333384</v>
      </c>
    </row>
    <row r="59" spans="1:183">
      <c r="A59" s="906"/>
      <c r="B59" s="876">
        <v>5</v>
      </c>
      <c r="C59" s="876" t="s">
        <v>150</v>
      </c>
      <c r="D59" s="990">
        <f>SUM($D$10:D10)</f>
        <v>56589.216666666667</v>
      </c>
      <c r="E59" s="990">
        <f>SUM(E10:E10)</f>
        <v>199.3</v>
      </c>
      <c r="F59" s="57">
        <f t="shared" si="68"/>
        <v>0</v>
      </c>
      <c r="G59" s="106">
        <f t="shared" si="68"/>
        <v>574</v>
      </c>
      <c r="H59" s="785">
        <f t="shared" si="68"/>
        <v>0</v>
      </c>
      <c r="I59" s="1016">
        <f t="shared" si="68"/>
        <v>56214.51666666667</v>
      </c>
      <c r="J59" s="1017">
        <f t="shared" si="68"/>
        <v>51484</v>
      </c>
      <c r="K59" s="930">
        <f>(G59-H59)/(D59+E59+F59)</f>
        <v>1.0107677285695376E-2</v>
      </c>
      <c r="L59" s="930">
        <f>1-((G59-H59)/(D59+E59+F59))</f>
        <v>0.98989232271430461</v>
      </c>
      <c r="M59" s="990">
        <f t="shared" si="69"/>
        <v>57195</v>
      </c>
      <c r="N59" s="990">
        <f t="shared" si="69"/>
        <v>0</v>
      </c>
      <c r="O59" s="1018">
        <f>O10</f>
        <v>980.48333333332994</v>
      </c>
      <c r="P59" s="1019"/>
      <c r="Q59" s="909"/>
      <c r="R59" s="932">
        <v>5</v>
      </c>
      <c r="S59" s="876" t="s">
        <v>150</v>
      </c>
      <c r="T59" s="990">
        <f t="shared" si="70"/>
        <v>113450.26666666666</v>
      </c>
      <c r="U59" s="990">
        <f t="shared" si="70"/>
        <v>265.86666666666667</v>
      </c>
      <c r="V59" s="55">
        <f t="shared" si="70"/>
        <v>0</v>
      </c>
      <c r="W59" s="106">
        <f t="shared" si="70"/>
        <v>1070</v>
      </c>
      <c r="X59" s="785">
        <f t="shared" si="70"/>
        <v>0</v>
      </c>
      <c r="Y59" s="1016">
        <f t="shared" si="71"/>
        <v>112646.13333333333</v>
      </c>
      <c r="Z59" s="1017">
        <f t="shared" si="71"/>
        <v>108554</v>
      </c>
      <c r="AA59" s="930">
        <f t="shared" si="41"/>
        <v>9.4093948557284757E-3</v>
      </c>
      <c r="AB59" s="930">
        <f t="shared" si="42"/>
        <v>0.99059060514427155</v>
      </c>
      <c r="AC59" s="990">
        <f t="shared" si="72"/>
        <v>114637</v>
      </c>
      <c r="AD59" s="990">
        <f t="shared" si="72"/>
        <v>0</v>
      </c>
      <c r="AE59" s="1018">
        <f>AE10+O10</f>
        <v>1990.8666666666613</v>
      </c>
      <c r="AF59" s="1019"/>
      <c r="AG59" s="911"/>
      <c r="AH59" s="876">
        <v>5</v>
      </c>
      <c r="AI59" s="876" t="s">
        <v>150</v>
      </c>
      <c r="AJ59" s="990">
        <f t="shared" si="73"/>
        <v>167227</v>
      </c>
      <c r="AK59" s="990">
        <f t="shared" si="73"/>
        <v>298.8</v>
      </c>
      <c r="AL59" s="55">
        <f t="shared" si="73"/>
        <v>0</v>
      </c>
      <c r="AM59" s="106">
        <f t="shared" si="73"/>
        <v>1600</v>
      </c>
      <c r="AN59" s="785">
        <f t="shared" si="73"/>
        <v>0</v>
      </c>
      <c r="AO59" s="1016">
        <f t="shared" si="74"/>
        <v>165925.80000000002</v>
      </c>
      <c r="AP59" s="1017">
        <f t="shared" si="74"/>
        <v>108554</v>
      </c>
      <c r="AQ59" s="930">
        <f t="shared" si="46"/>
        <v>9.5507677026463993E-3</v>
      </c>
      <c r="AR59" s="930">
        <f t="shared" si="47"/>
        <v>0.9904492322973536</v>
      </c>
      <c r="AS59" s="990">
        <f t="shared" si="75"/>
        <v>168761</v>
      </c>
      <c r="AT59" s="990">
        <f t="shared" si="75"/>
        <v>0</v>
      </c>
      <c r="AU59" s="1018">
        <f>AU10+AE10+O10</f>
        <v>2835.1999999999898</v>
      </c>
      <c r="AV59" s="1019"/>
      <c r="AW59" s="913"/>
      <c r="AX59" s="876">
        <v>5</v>
      </c>
      <c r="AY59" s="876" t="s">
        <v>150</v>
      </c>
      <c r="AZ59" s="990">
        <f t="shared" si="76"/>
        <v>224980.68333333335</v>
      </c>
      <c r="BA59" s="990">
        <f t="shared" si="76"/>
        <v>345.76666666666671</v>
      </c>
      <c r="BB59" s="55">
        <f t="shared" si="76"/>
        <v>101.76666666666664</v>
      </c>
      <c r="BC59" s="106">
        <f t="shared" si="76"/>
        <v>2138</v>
      </c>
      <c r="BD59" s="785">
        <f t="shared" si="76"/>
        <v>0</v>
      </c>
      <c r="BE59" s="1016">
        <f t="shared" si="76"/>
        <v>223290.21666666667</v>
      </c>
      <c r="BF59" s="930">
        <f t="shared" si="50"/>
        <v>9.4841720864136132E-3</v>
      </c>
      <c r="BG59" s="930">
        <f t="shared" si="51"/>
        <v>0.99051582791358639</v>
      </c>
      <c r="BH59" s="990">
        <f>BH10+AS10+AC10+M10</f>
        <v>226888</v>
      </c>
      <c r="BI59" s="990"/>
      <c r="BJ59" s="1018">
        <f>BJ10+AU10+AE10+O10</f>
        <v>3597.7833333333183</v>
      </c>
      <c r="BK59" s="1019"/>
      <c r="BL59" s="914"/>
      <c r="BM59" s="932">
        <v>5</v>
      </c>
      <c r="BN59" s="876" t="s">
        <v>150</v>
      </c>
      <c r="BO59" s="990">
        <f>$BO10+$AZ10+$AJ10+$T10+$D10</f>
        <v>279011.71666666667</v>
      </c>
      <c r="BP59" s="990">
        <f>$BP10+$BA10+$AK10+$U10+$E10</f>
        <v>345.76666666666671</v>
      </c>
      <c r="BQ59" s="39">
        <f>$BQ10+$BB10+$AL10+$V10+$F10</f>
        <v>101.76666666666664</v>
      </c>
      <c r="BR59" s="106">
        <f>$BR10+$BC10+$AM10+$W10+$G10</f>
        <v>2138</v>
      </c>
      <c r="BS59" s="785">
        <f>$BS10+$BD10+$AN10+$X10+$H10</f>
        <v>0</v>
      </c>
      <c r="BT59" s="1016">
        <f>$BT10+$BE10+$AO10+$Y10+$I10</f>
        <v>277321.25000000006</v>
      </c>
      <c r="BU59" s="930">
        <f t="shared" si="52"/>
        <v>7.650489293161704E-3</v>
      </c>
      <c r="BV59" s="930">
        <f t="shared" si="53"/>
        <v>0.9923495107068383</v>
      </c>
      <c r="BW59" s="990">
        <f>$BW10+$BH10+$AS10+$AC10+$M10</f>
        <v>281312</v>
      </c>
      <c r="BX59" s="990"/>
      <c r="BY59" s="1018">
        <f>$BY10+$BJ10+$AU10+$AE10+$O10</f>
        <v>3990.7499999999782</v>
      </c>
      <c r="BZ59" s="1019"/>
      <c r="CA59" s="915"/>
      <c r="CB59" s="876">
        <v>5</v>
      </c>
      <c r="CC59" s="876" t="s">
        <v>150</v>
      </c>
      <c r="CD59" s="990">
        <f>$BO10+$AZ10+$AJ10+$T10+$D10+$CD10</f>
        <v>334816.23333333334</v>
      </c>
      <c r="CE59" s="990">
        <f>$BP10+$BA10+$AK10+$U10+$E10+$CE10</f>
        <v>345.76666666666671</v>
      </c>
      <c r="CF59" s="39">
        <f>$BQ10+$BB10+$AL10+$V10+$F10+$CF10</f>
        <v>101.76666666666664</v>
      </c>
      <c r="CG59" s="106">
        <f>$BR10+$BC10+$AM10+$W10+$G10+$CG10</f>
        <v>2138</v>
      </c>
      <c r="CH59" s="785">
        <f>$BS10+$BD10+$AN10+$X10+$H10+$CH10</f>
        <v>0</v>
      </c>
      <c r="CI59" s="1016">
        <f>$BT10+$BE10+$AO10+$Y10+$I10+$CI10</f>
        <v>333125.76666666672</v>
      </c>
      <c r="CJ59" s="930">
        <f t="shared" si="54"/>
        <v>6.3770684832927067E-3</v>
      </c>
      <c r="CK59" s="930">
        <f t="shared" si="55"/>
        <v>0.99362293151670733</v>
      </c>
      <c r="CL59" s="990">
        <f>$BW10+$BH10+$AS10+$AC10+$M10+$CL10</f>
        <v>337551.65</v>
      </c>
      <c r="CM59" s="990"/>
      <c r="CN59" s="1018">
        <f>$BY10+$BJ10+$AU10+$AE10+$O10+$CN10</f>
        <v>4425.8833333333096</v>
      </c>
      <c r="CO59" s="1019"/>
      <c r="CP59" s="919"/>
      <c r="CQ59" s="876">
        <v>5</v>
      </c>
      <c r="CR59" s="876" t="s">
        <v>150</v>
      </c>
      <c r="CS59" s="990">
        <f>$BO10+$AZ10+$AJ10+$T10+$D10+$CD10+$CS10</f>
        <v>391553.85</v>
      </c>
      <c r="CT59" s="990">
        <f>$BP10+$BA10+$AK10+$U10+$E10+$CE10+$CT10</f>
        <v>345.76666666666671</v>
      </c>
      <c r="CU59" s="39">
        <f>$BQ10+$BB10+$AL10+$V10+$F10+$CF10+$CU10</f>
        <v>101.76666666666664</v>
      </c>
      <c r="CV59" s="106">
        <f>$BR10+$BC10+$AM10+$W10+$G10+$CG10+$CV10</f>
        <v>2138</v>
      </c>
      <c r="CW59" s="785">
        <f>$BS10+$BD10+$AN10+$X10+$H10+$CH10+$CW10</f>
        <v>0</v>
      </c>
      <c r="CX59" s="1016">
        <f>$BT10+$BE10+$AO10+$Y10+$I10+$CI10+$CX10</f>
        <v>389863.38333333336</v>
      </c>
      <c r="CY59" s="930">
        <f t="shared" si="56"/>
        <v>5.4540623857492346E-3</v>
      </c>
      <c r="CZ59" s="930">
        <f t="shared" si="57"/>
        <v>0.99454593761425081</v>
      </c>
      <c r="DA59" s="990">
        <f>$BW10+$BH10+$AS10+$AC10+$M10+$CL10+$DA10</f>
        <v>394719.95</v>
      </c>
      <c r="DB59" s="990"/>
      <c r="DC59" s="1018">
        <f>$BY10+$BJ10+$AU10+$AE10+$O10+$CN10+$DC10</f>
        <v>4856.5666666666511</v>
      </c>
      <c r="DD59" s="1019"/>
      <c r="DE59" s="920"/>
      <c r="DF59" s="932">
        <v>5</v>
      </c>
      <c r="DG59" s="876" t="s">
        <v>150</v>
      </c>
      <c r="DH59" s="990">
        <f>$BO10+$AZ10+$AJ10+$T10+$D10+$CD10+$CS10+$DH10</f>
        <v>443071.11666666664</v>
      </c>
      <c r="DI59" s="990">
        <f>$BP10+$BA10+$AK10+$U10+$E10+$CE10+$CT10+$DJ10</f>
        <v>345.76666666666671</v>
      </c>
      <c r="DJ59" s="39">
        <f>$BQ10+$BB10+$AL10+$V10+$F10+$CF10+$CU10+$DJ10</f>
        <v>101.76666666666664</v>
      </c>
      <c r="DK59" s="106">
        <f>$BR10+$BC10+$AM10+$W10+$G10+$CG10+$CV10+$DK10</f>
        <v>2138</v>
      </c>
      <c r="DL59" s="785">
        <f>$BS10+$BD10+$AN10+$X10+$H10+$CH10+$CW10+DL10</f>
        <v>0</v>
      </c>
      <c r="DM59" s="1016">
        <f>$BT10+$BE10+$AO10+$Y10+$I10+$CI10+$CX10+DM10</f>
        <v>441380.65</v>
      </c>
      <c r="DN59" s="930">
        <f t="shared" si="58"/>
        <v>4.8205413684407634E-3</v>
      </c>
      <c r="DO59" s="930">
        <f t="shared" si="59"/>
        <v>0.99517945863155921</v>
      </c>
      <c r="DP59" s="990">
        <f>$BW10+$BH10+$AS10+$AC10+$M10+$CL10+$DA10+$DP10</f>
        <v>447715.95</v>
      </c>
      <c r="DQ59" s="990"/>
      <c r="DR59" s="1020">
        <f>$BY10+$BJ10+$AU10+$AE10+$O10+$CN10+$DC10+$DR10</f>
        <v>6335.2999999999811</v>
      </c>
      <c r="DS59" s="1019"/>
      <c r="DT59" s="921"/>
      <c r="DU59" s="932">
        <v>5</v>
      </c>
      <c r="DV59" s="876" t="s">
        <v>150</v>
      </c>
      <c r="DW59" s="990">
        <f>$BO10+$AZ10+$AJ10+$T10+$D10+$CD10+$CS10+$DH10+$DW10</f>
        <v>499157</v>
      </c>
      <c r="DX59" s="990">
        <f>$BP10+$BA10+$AK10+$U10+$E10+$CE10+$CT10+$DJ10+$DX10</f>
        <v>345.76666666666671</v>
      </c>
      <c r="DY59" s="39">
        <f>$BQ10+$BB10+$AL10+$V10+$F10+$CF10+$CU10+$DJ10+$DY10</f>
        <v>101.76666666666664</v>
      </c>
      <c r="DZ59" s="106">
        <f>$BR10+$BC10+$AM10+$W10+$G10+$CG10+$CV10+$DK10+$DZ10</f>
        <v>2138</v>
      </c>
      <c r="EA59" s="785">
        <f>$BS10+$BD10+$AN10+$X10+$H10+$CH10+$CW10+$DL10+$EA10</f>
        <v>0</v>
      </c>
      <c r="EB59" s="1016">
        <f>$BT10+$BE10+$AO10+$Y10+$I10+$CI10+$CX10+$DM10+$EB10</f>
        <v>497466.53333333338</v>
      </c>
      <c r="EC59" s="930">
        <f t="shared" si="60"/>
        <v>4.2793847080117237E-3</v>
      </c>
      <c r="ED59" s="930">
        <f t="shared" si="61"/>
        <v>0.9957206152919883</v>
      </c>
      <c r="EE59" s="990">
        <f>$BW10+$BH10+$AS10+$AC10+$M10+$CL10+$DA10+$DP10+$EE10</f>
        <v>503069.60000000003</v>
      </c>
      <c r="EF59" s="990"/>
      <c r="EG59" s="1020">
        <f>$BY10+$BJ10+$AU10+$AE10+$O10+$CN10+$DC10+$DR10+$EG10</f>
        <v>5603.0666666666439</v>
      </c>
      <c r="EH59" s="1019"/>
      <c r="EI59" s="941"/>
      <c r="EJ59" s="876">
        <v>5</v>
      </c>
      <c r="EK59" s="876" t="s">
        <v>150</v>
      </c>
      <c r="EL59" s="990">
        <f>$BO10+$AZ10+$AJ10+$T10+$D10+$CD10+$CS10+$DH10+$DW10+$EL10</f>
        <v>554785.5</v>
      </c>
      <c r="EM59" s="990">
        <f>$BP10+$BA10+$AK10+$U10+$E10+$CE10+$CT10+$DJ10+$DX10+$EM10</f>
        <v>345.76666666666671</v>
      </c>
      <c r="EN59" s="39">
        <f>$BQ10+$BB10+$AL10+$V10+$F10+$CF10+$CU10+$DJ10+$DY10+$EN10</f>
        <v>101.76666666666664</v>
      </c>
      <c r="EO59" s="106">
        <f>$BR10+$BC10+$AM10+$W10+$G10+$CG10+$CV10+$DK10+$DZ10+$EO10</f>
        <v>2138</v>
      </c>
      <c r="EP59" s="785">
        <f>$BS10+$BD10+$AN10+$X10+$H10+$CH10+$CW10+$DL10+$EA10+$EP10</f>
        <v>0</v>
      </c>
      <c r="EQ59" s="1016">
        <f>$BT10+$BE10+$AO10+$Y10+$I10+$CI10+$CX10+$DM10+$EB10+$EQ10</f>
        <v>553095.03333333344</v>
      </c>
      <c r="ER59" s="930">
        <f t="shared" si="62"/>
        <v>3.8506354479029246E-3</v>
      </c>
      <c r="ES59" s="930">
        <f t="shared" si="63"/>
        <v>0.99614936455209713</v>
      </c>
      <c r="ET59" s="990">
        <f>$BW10+$BH10+$AS10+$AC10+$M10+$CL10+$DA10+$DP10+$EE10+$ET10</f>
        <v>559138.9</v>
      </c>
      <c r="EU59" s="990"/>
      <c r="EV59" s="1020">
        <f>$BY10+$BJ10+$AU10+$AE10+$O10+$CN10+$DC10+$DR10+$EG10+$EV10</f>
        <v>6043.8666666666468</v>
      </c>
      <c r="EW59" s="1019"/>
      <c r="EX59" s="925"/>
      <c r="EY59" s="932">
        <v>5</v>
      </c>
      <c r="EZ59" s="876" t="s">
        <v>150</v>
      </c>
      <c r="FA59" s="990">
        <f>$BO10+$AZ10+$AJ10+$T10+$D10+$CD10+$CS10+$DH10+$DW10+$EL10+$FA10</f>
        <v>610922.65</v>
      </c>
      <c r="FB59" s="990">
        <f>$BP10+$BA10+$AK10+$U10+$E10+$CE10+$CT10+$DJ10+$DX10+$EM10+$FB10</f>
        <v>345.76666666666671</v>
      </c>
      <c r="FC59" s="39">
        <f>$BQ10+$BB10+$AL10+$V10+$F10+$CF10+$CU10+$DJ10+$DY10+$EN10+$FC10</f>
        <v>101.76666666666664</v>
      </c>
      <c r="FD59" s="106">
        <f>$BR10+$BC10+$AM10+$W10+$G10+$CG10+$CV10+$DK10+$DZ10+$EO10+$FD10</f>
        <v>2138</v>
      </c>
      <c r="FE59" s="785">
        <f>$BS10+$BD10+$AN10+$X10+$H10+$CH10+$CW10+$DL10+$EA10+$EP10+$FE10</f>
        <v>0</v>
      </c>
      <c r="FF59" s="1016">
        <f>$BT10+$BE10+$AO10+$Y10+$I10+$CI10+$CX10+$DM10+$EB10+$EQ10+$FF10</f>
        <v>609232.18333333347</v>
      </c>
      <c r="FG59" s="930">
        <f t="shared" si="67"/>
        <v>3.4970629224067213E-3</v>
      </c>
      <c r="FH59" s="930">
        <f t="shared" si="64"/>
        <v>0.9965029370775933</v>
      </c>
      <c r="FI59" s="990">
        <f>$BW10+$BH10+$AS10+$AC10+$M10+$CL10+$DA10+$DP10+$EE10+$ET10+$FI10</f>
        <v>616777.55000000005</v>
      </c>
      <c r="FJ59" s="990"/>
      <c r="FK59" s="1020">
        <f>$BY10+$BJ10+$AU10+$AE10+$O10+$CN10+$DC10+$DR10+$EG10+$EV10+$FK10</f>
        <v>7545.3666666666468</v>
      </c>
      <c r="FL59" s="1019"/>
      <c r="FM59" s="927"/>
      <c r="FN59" s="932">
        <v>5</v>
      </c>
      <c r="FO59" s="876" t="s">
        <v>150</v>
      </c>
      <c r="FP59" s="990">
        <f>$BO10+$AZ10+$AJ10+$T10+$D10+$CD10+$CS10+$DH10+$DW10+$EL10+$FA10+$FP10</f>
        <v>665608.51666666672</v>
      </c>
      <c r="FQ59" s="990">
        <f>$BP10+$BA10+$AK10+$U10+$E10+$CE10+$CT10+DI10+$DX10+$EM10+$FB10+$FQ10</f>
        <v>345.76666666666671</v>
      </c>
      <c r="FR59" s="39">
        <f>$BQ10+$BB10+$AL10+$V10+$F10+$CF10+$CU10+$DJ10+$DY10+$EN10+$FC10+$FR10</f>
        <v>101.76666666666664</v>
      </c>
      <c r="FS59" s="106">
        <f>$BR10+$BC10+$AM10+$W10+$G10+$CG10+$CV10+$DK10+$DZ10+$EO10+$FD10+$FS10</f>
        <v>2138</v>
      </c>
      <c r="FT59" s="785">
        <f>$BS10+$BD10+$AN10+$X10+$H10+$CH10+$CW10+$DL10+$EA10+$EP10+$FE10+$FT10</f>
        <v>0</v>
      </c>
      <c r="FU59" s="1016">
        <f>$BT10+$BE10+$AO10+$Y10+$I10+$CI10+$CX10+$DM10+$EB10+$EQ10+$FF10+$FU10</f>
        <v>663918.05000000016</v>
      </c>
      <c r="FV59" s="930">
        <f t="shared" si="65"/>
        <v>3.2099400643534419E-3</v>
      </c>
      <c r="FW59" s="930">
        <f t="shared" si="66"/>
        <v>0.99679005993564651</v>
      </c>
      <c r="FX59" s="990">
        <f>$BW10+$BH10+$AS10+$AC10+$M10+$CL10+$DA10+$DP10+$EE10+$ET10+$FI10+$FX10</f>
        <v>670759.20000000007</v>
      </c>
      <c r="FY59" s="990"/>
      <c r="FZ59" s="1020">
        <f>$BY10+$BJ10+$AU10+$AE10+$O10+$CN10+$DC10+$DR10+$EG10+$EV10+$FK10+$FZ10</f>
        <v>6841.1499999999796</v>
      </c>
      <c r="GA59" s="1019"/>
    </row>
    <row r="60" spans="1:183">
      <c r="A60" s="906"/>
      <c r="B60" s="876">
        <v>6</v>
      </c>
      <c r="C60" s="876" t="s">
        <v>151</v>
      </c>
      <c r="D60" s="990">
        <f>SUM($D$11:D11)</f>
        <v>49134.733333333337</v>
      </c>
      <c r="E60" s="990">
        <f>SUM(E11:E11)</f>
        <v>193.23333333333338</v>
      </c>
      <c r="F60" s="57">
        <f t="shared" si="68"/>
        <v>0</v>
      </c>
      <c r="G60" s="106">
        <f t="shared" si="68"/>
        <v>242</v>
      </c>
      <c r="H60" s="785">
        <f t="shared" si="68"/>
        <v>0</v>
      </c>
      <c r="I60" s="1016">
        <f t="shared" si="68"/>
        <v>49085.966666666667</v>
      </c>
      <c r="J60" s="1017">
        <f t="shared" si="68"/>
        <v>46795</v>
      </c>
      <c r="K60" s="930">
        <f>(G60-H60)/(D60+E60+F60)</f>
        <v>4.9059390920228483E-3</v>
      </c>
      <c r="L60" s="930">
        <f>1-((G60-H60)/(D60+E60+F60))</f>
        <v>0.99509406090797714</v>
      </c>
      <c r="M60" s="990">
        <f t="shared" si="69"/>
        <v>49576</v>
      </c>
      <c r="N60" s="990">
        <f t="shared" si="69"/>
        <v>0</v>
      </c>
      <c r="O60" s="1018">
        <f>O11</f>
        <v>490.03333333333285</v>
      </c>
      <c r="P60" s="1019"/>
      <c r="Q60" s="909"/>
      <c r="R60" s="932">
        <v>6</v>
      </c>
      <c r="S60" s="876" t="s">
        <v>151</v>
      </c>
      <c r="T60" s="990">
        <f t="shared" si="70"/>
        <v>98484.833333333343</v>
      </c>
      <c r="U60" s="990">
        <f t="shared" si="70"/>
        <v>193.23333333333338</v>
      </c>
      <c r="V60" s="55">
        <f t="shared" si="70"/>
        <v>157.19999999999999</v>
      </c>
      <c r="W60" s="106">
        <f t="shared" si="70"/>
        <v>494</v>
      </c>
      <c r="X60" s="785">
        <f t="shared" si="70"/>
        <v>0</v>
      </c>
      <c r="Y60" s="1016">
        <f t="shared" si="71"/>
        <v>98341.266666666663</v>
      </c>
      <c r="Z60" s="1017">
        <f t="shared" si="71"/>
        <v>96334</v>
      </c>
      <c r="AA60" s="930">
        <f t="shared" si="41"/>
        <v>4.9982158865020509E-3</v>
      </c>
      <c r="AB60" s="930">
        <f t="shared" si="42"/>
        <v>0.99500178411349793</v>
      </c>
      <c r="AC60" s="990">
        <f t="shared" si="72"/>
        <v>99370</v>
      </c>
      <c r="AD60" s="990">
        <f t="shared" si="72"/>
        <v>0</v>
      </c>
      <c r="AE60" s="1018">
        <f>AE11+O11</f>
        <v>1028.7333333333372</v>
      </c>
      <c r="AF60" s="1019"/>
      <c r="AG60" s="911"/>
      <c r="AH60" s="876">
        <v>6</v>
      </c>
      <c r="AI60" s="876" t="s">
        <v>151</v>
      </c>
      <c r="AJ60" s="990">
        <f t="shared" si="73"/>
        <v>144948.01666666666</v>
      </c>
      <c r="AK60" s="990">
        <f t="shared" si="73"/>
        <v>218.08333333333337</v>
      </c>
      <c r="AL60" s="55">
        <f t="shared" si="73"/>
        <v>282.54999999999995</v>
      </c>
      <c r="AM60" s="106">
        <f t="shared" si="73"/>
        <v>813</v>
      </c>
      <c r="AN60" s="785">
        <f t="shared" si="73"/>
        <v>0</v>
      </c>
      <c r="AO60" s="1016">
        <f t="shared" si="74"/>
        <v>144635.65</v>
      </c>
      <c r="AP60" s="1017">
        <f t="shared" si="74"/>
        <v>96334</v>
      </c>
      <c r="AQ60" s="930">
        <f t="shared" si="46"/>
        <v>5.5896015535379668E-3</v>
      </c>
      <c r="AR60" s="930">
        <f t="shared" si="47"/>
        <v>0.99441039844646206</v>
      </c>
      <c r="AS60" s="990">
        <f t="shared" si="75"/>
        <v>146076</v>
      </c>
      <c r="AT60" s="990">
        <f t="shared" si="75"/>
        <v>0</v>
      </c>
      <c r="AU60" s="1018">
        <f>AU11+AE11+O11</f>
        <v>1440.3500000000204</v>
      </c>
      <c r="AV60" s="1019"/>
      <c r="AW60" s="913"/>
      <c r="AX60" s="876">
        <v>6</v>
      </c>
      <c r="AY60" s="876" t="s">
        <v>151</v>
      </c>
      <c r="AZ60" s="990">
        <f t="shared" si="76"/>
        <v>195273.06666666665</v>
      </c>
      <c r="BA60" s="990">
        <f t="shared" si="76"/>
        <v>192.25000000000006</v>
      </c>
      <c r="BB60" s="55">
        <f t="shared" si="76"/>
        <v>539.08333333333348</v>
      </c>
      <c r="BC60" s="106">
        <f t="shared" si="76"/>
        <v>1088</v>
      </c>
      <c r="BD60" s="785">
        <f t="shared" si="76"/>
        <v>0</v>
      </c>
      <c r="BE60" s="1016">
        <f t="shared" si="76"/>
        <v>194916.4</v>
      </c>
      <c r="BF60" s="930">
        <f t="shared" si="50"/>
        <v>5.55089579621682E-3</v>
      </c>
      <c r="BG60" s="930">
        <f t="shared" si="51"/>
        <v>0.99444910420378319</v>
      </c>
      <c r="BH60" s="990">
        <f>BH11+AS11+AC11+M11</f>
        <v>196660</v>
      </c>
      <c r="BI60" s="990"/>
      <c r="BJ60" s="1018">
        <f>BJ11+AU11+AE11+O11</f>
        <v>1743.6000000000204</v>
      </c>
      <c r="BK60" s="1019"/>
      <c r="BL60" s="914"/>
      <c r="BM60" s="932">
        <v>6</v>
      </c>
      <c r="BN60" s="876" t="s">
        <v>151</v>
      </c>
      <c r="BO60" s="990">
        <f>$BO11+$AZ11+$AJ11+$T11+$D11</f>
        <v>241942.98333333331</v>
      </c>
      <c r="BP60" s="990">
        <f>$BP11+$BA11+$AK11+$U11+$E11</f>
        <v>192.25000000000006</v>
      </c>
      <c r="BQ60" s="39">
        <f>$BQ11+$BB11+$AL11+$V11+$F11</f>
        <v>539.08333333333348</v>
      </c>
      <c r="BR60" s="106">
        <f>$BR11+$BC11+$AM11+$W11+$G11</f>
        <v>1088</v>
      </c>
      <c r="BS60" s="785">
        <f>$BS11+$BD11+$AN11+$X11+$H11</f>
        <v>0</v>
      </c>
      <c r="BT60" s="1016">
        <f>$BT11+$BE11+$AO11+$Y11+$I11</f>
        <v>241586.31666666665</v>
      </c>
      <c r="BU60" s="930">
        <f t="shared" si="52"/>
        <v>4.4833751463466921E-3</v>
      </c>
      <c r="BV60" s="930">
        <f t="shared" si="53"/>
        <v>0.99551662485365333</v>
      </c>
      <c r="BW60" s="990">
        <f>$BW11+$BH11+$AS11+$AC11+$M11</f>
        <v>243582.66666666669</v>
      </c>
      <c r="BX60" s="990"/>
      <c r="BY60" s="1018">
        <f>$BY11+$BJ11+$AU11+$AE11+$O11</f>
        <v>1996.3500000000349</v>
      </c>
      <c r="BZ60" s="1019"/>
      <c r="CA60" s="915"/>
      <c r="CB60" s="876">
        <v>6</v>
      </c>
      <c r="CC60" s="876" t="s">
        <v>151</v>
      </c>
      <c r="CD60" s="990">
        <f>$BO11+$AZ11+$AJ11+$T11+$D11+$CD11</f>
        <v>290223.98333333328</v>
      </c>
      <c r="CE60" s="990">
        <f>$BP11+$BA11+$AK11+$U11+$E11+$CE11</f>
        <v>192.25000000000006</v>
      </c>
      <c r="CF60" s="39">
        <f>$BQ11+$BB11+$AL11+$V11+$F11+$CF11</f>
        <v>539.08333333333348</v>
      </c>
      <c r="CG60" s="106">
        <f>$BR11+$BC11+$AM11+$W11+$G11+$CG11</f>
        <v>1088</v>
      </c>
      <c r="CH60" s="785">
        <f>$BS11+$BD11+$AN11+$X11+$H11+$CH11</f>
        <v>0</v>
      </c>
      <c r="CI60" s="1016">
        <f>$BT11+$BE11+$AO11+$Y11+$I11+$CI11</f>
        <v>289867.31666666665</v>
      </c>
      <c r="CJ60" s="930">
        <f t="shared" si="54"/>
        <v>3.7394058045224481E-3</v>
      </c>
      <c r="CK60" s="930">
        <f t="shared" si="55"/>
        <v>0.99626059419547752</v>
      </c>
      <c r="CL60" s="990">
        <f>$BW11+$BH11+$AS11+$AC11+$M11+$CL11</f>
        <v>292152.41666666669</v>
      </c>
      <c r="CM60" s="990"/>
      <c r="CN60" s="1018">
        <f>$BY11+$BJ11+$AU11+$AE11+$O11+$CN11</f>
        <v>2285.1000000000349</v>
      </c>
      <c r="CO60" s="1019"/>
      <c r="CP60" s="919"/>
      <c r="CQ60" s="876">
        <v>6</v>
      </c>
      <c r="CR60" s="876" t="s">
        <v>151</v>
      </c>
      <c r="CS60" s="990">
        <f>$BO11+$AZ11+$AJ11+$T11+$D11+$CD11+$CS11</f>
        <v>339491.86666666658</v>
      </c>
      <c r="CT60" s="990">
        <f>$BP11+$BA11+$AK11+$U11+$E11+$CE11+$CT11</f>
        <v>192.25000000000006</v>
      </c>
      <c r="CU60" s="39">
        <f>$BQ11+$BB11+$AL11+$V11+$F11+$CF11+$CU11</f>
        <v>539.08333333333348</v>
      </c>
      <c r="CV60" s="106">
        <f>$BR11+$BC11+$AM11+$W11+$G11+$CG11+$CV11</f>
        <v>1088</v>
      </c>
      <c r="CW60" s="785">
        <f>$BS11+$BD11+$AN11+$X11+$H11+$CH11+$CW11</f>
        <v>0</v>
      </c>
      <c r="CX60" s="1016">
        <f>$BT11+$BE11+$AO11+$Y11+$I11+$CI11+$CX11</f>
        <v>339135.19999999995</v>
      </c>
      <c r="CY60" s="930">
        <f t="shared" si="56"/>
        <v>3.1979006722645613E-3</v>
      </c>
      <c r="CZ60" s="930">
        <f t="shared" si="57"/>
        <v>0.99680209932773545</v>
      </c>
      <c r="DA60" s="990">
        <f>$BW11+$BH11+$AS11+$AC11+$M11+$CL11+$DA11</f>
        <v>341728.25</v>
      </c>
      <c r="DB60" s="990"/>
      <c r="DC60" s="1018">
        <f>$BY11+$BJ11+$AU11+$AE11+$O11+$CN11+$DC11</f>
        <v>2593.0500000000538</v>
      </c>
      <c r="DD60" s="1019"/>
      <c r="DE60" s="920"/>
      <c r="DF60" s="932">
        <v>6</v>
      </c>
      <c r="DG60" s="876" t="s">
        <v>151</v>
      </c>
      <c r="DH60" s="990">
        <f>$BO11+$AZ11+$AJ11+$T11+$D11+$CD11+$CS11+$DH11</f>
        <v>384242.59999999992</v>
      </c>
      <c r="DI60" s="990">
        <f>$BP11+$BA11+$AK11+$U11+$E11+$CE11+$CT11+$DJ11</f>
        <v>192.25000000000006</v>
      </c>
      <c r="DJ60" s="39">
        <f>$BQ11+$BB11+$AL11+$V11+$F11+$CF11+$CU11+$DJ11</f>
        <v>539.08333333333348</v>
      </c>
      <c r="DK60" s="106">
        <f>$BR11+$BC11+$AM11+$W11+$G11+$CG11+$CV11+$DK11</f>
        <v>1088</v>
      </c>
      <c r="DL60" s="785">
        <f>$BS11+$BD11+$AN11+$X11+$H11+$CH11+$CW11+DL11</f>
        <v>0</v>
      </c>
      <c r="DM60" s="1016">
        <f>$BT11+$BE11+$AO11+$Y11+$I11+$CI11+$CX11+DM11</f>
        <v>383885.93333333329</v>
      </c>
      <c r="DN60" s="930">
        <f t="shared" si="58"/>
        <v>2.8261653732746242E-3</v>
      </c>
      <c r="DO60" s="930">
        <f t="shared" si="59"/>
        <v>0.99717383462672537</v>
      </c>
      <c r="DP60" s="990">
        <f>$BW11+$BH11+$AS11+$AC11+$M11+$CL11+$DA11+$DP11</f>
        <v>387578.91666666669</v>
      </c>
      <c r="DQ60" s="990"/>
      <c r="DR60" s="1020">
        <f>$BY11+$BJ11+$AU11+$AE11+$O11+$CN11+$DC11+$DR11</f>
        <v>3692.9833333334027</v>
      </c>
      <c r="DS60" s="1019"/>
      <c r="DT60" s="921"/>
      <c r="DU60" s="932">
        <v>6</v>
      </c>
      <c r="DV60" s="876" t="s">
        <v>151</v>
      </c>
      <c r="DW60" s="990">
        <f>$BO11+$AZ11+$AJ11+$T11+$D11+$CD11+$CS11+$DH11+$DW11</f>
        <v>432748.81666666659</v>
      </c>
      <c r="DX60" s="990">
        <f>$BP11+$BA11+$AK11+$U11+$E11+$CE11+$CT11+$DJ11+$DX11</f>
        <v>192.25000000000006</v>
      </c>
      <c r="DY60" s="39">
        <f>$BQ11+$BB11+$AL11+$V11+$F11+$CF11+$CU11+$DJ11+$DY11</f>
        <v>539.08333333333348</v>
      </c>
      <c r="DZ60" s="106">
        <f>$BR11+$BC11+$AM11+$W11+$G11+$CG11+$CV11+$DK11+$DZ11</f>
        <v>1088</v>
      </c>
      <c r="EA60" s="785">
        <f>$BS11+$BD11+$AN11+$X11+$H11+$CH11+$CW11+$DL11+$EA11</f>
        <v>0</v>
      </c>
      <c r="EB60" s="1016">
        <f>$BT11+$BE11+$AO11+$Y11+$I11+$CI11+$CX11+$DM11+$EB11</f>
        <v>432392.14999999997</v>
      </c>
      <c r="EC60" s="930">
        <f t="shared" si="60"/>
        <v>2.5099188509554596E-3</v>
      </c>
      <c r="ED60" s="930">
        <f t="shared" si="61"/>
        <v>0.99749008114904458</v>
      </c>
      <c r="EE60" s="990">
        <f>$BW11+$BH11+$AS11+$AC11+$M11+$CL11+$DA11+$DP11+$EE11</f>
        <v>435508.66666666669</v>
      </c>
      <c r="EF60" s="990"/>
      <c r="EG60" s="1020">
        <f>$BY11+$BJ11+$AU11+$AE11+$O11+$CN11+$DC11+$DR11+$EG11</f>
        <v>3116.5166666667428</v>
      </c>
      <c r="EH60" s="1019"/>
      <c r="EI60" s="941"/>
      <c r="EJ60" s="876">
        <v>6</v>
      </c>
      <c r="EK60" s="876" t="s">
        <v>151</v>
      </c>
      <c r="EL60" s="990">
        <f>$BO11+$AZ11+$AJ11+$T11+$D11+$CD11+$CS11+$DH11+$DW11+$EL11</f>
        <v>481177.13333333324</v>
      </c>
      <c r="EM60" s="990">
        <f>$BP11+$BA11+$AK11+$U11+$E11+$CE11+$CT11+$DJ11+$DX11+$EM11</f>
        <v>192.25000000000006</v>
      </c>
      <c r="EN60" s="39">
        <f>$BQ11+$BB11+$AL11+$V11+$F11+$CF11+$CU11+$DJ11+$DY11+$EN11</f>
        <v>539.08333333333348</v>
      </c>
      <c r="EO60" s="106">
        <f>$BR11+$BC11+$AM11+$W11+$G11+$CG11+$CV11+$DK11+$DZ11+$EO11</f>
        <v>1088</v>
      </c>
      <c r="EP60" s="785">
        <f>$BS11+$BD11+$AN11+$X11+$H11+$CH11+$CW11+$DL11+$EA11+$EP11</f>
        <v>0</v>
      </c>
      <c r="EQ60" s="1016">
        <f>$BT11+$BE11+$AO11+$Y11+$I11+$CI11+$CX11+$DM11+$EB11+$EQ11</f>
        <v>480820.46666666662</v>
      </c>
      <c r="ER60" s="930">
        <f t="shared" si="62"/>
        <v>2.25769015333064E-3</v>
      </c>
      <c r="ES60" s="930">
        <f t="shared" si="63"/>
        <v>0.99774230984666934</v>
      </c>
      <c r="ET60" s="990">
        <f>$BW11+$BH11+$AS11+$AC11+$M11+$CL11+$DA11+$DP11+$EE11+$ET11</f>
        <v>484229.5</v>
      </c>
      <c r="EU60" s="990"/>
      <c r="EV60" s="1020">
        <f>$BY11+$BJ11+$AU11+$AE11+$O11+$CN11+$DC11+$DR11+$EG11+$EV11</f>
        <v>3409.0333333334202</v>
      </c>
      <c r="EW60" s="1019"/>
      <c r="EX60" s="925"/>
      <c r="EY60" s="932">
        <v>6</v>
      </c>
      <c r="EZ60" s="876" t="s">
        <v>151</v>
      </c>
      <c r="FA60" s="990">
        <f>$BO11+$AZ11+$AJ11+$T11+$D11+$CD11+$CS11+$DH11+$DW11+$EL11+$FA11</f>
        <v>529726.5166666666</v>
      </c>
      <c r="FB60" s="990">
        <f>$BP11+$BA11+$AK11+$U11+$E11+$CE11+$CT11+$DJ11+$DX11+$EM11+$FB11</f>
        <v>192.25000000000006</v>
      </c>
      <c r="FC60" s="39">
        <f>$BQ11+$BB11+$AL11+$V11+$F11+$CF11+$CU11+$DJ11+$DY11+$EN11+$FC11</f>
        <v>539.08333333333348</v>
      </c>
      <c r="FD60" s="106">
        <f>$BR11+$BC11+$AM11+$W11+$G11+$CG11+$CV11+$DK11+$DZ11+$EO11+$FD11</f>
        <v>1088</v>
      </c>
      <c r="FE60" s="785">
        <f>$BS11+$BD11+$AN11+$X11+$H11+$CH11+$CW11+$DL11+$EA11+$EP11+$FE11</f>
        <v>0</v>
      </c>
      <c r="FF60" s="1016">
        <f>$BT11+$BE11+$AO11+$Y11+$I11+$CI11+$CX11+$DM11+$EB11+$EQ11+$FF11</f>
        <v>529369.85</v>
      </c>
      <c r="FG60" s="930">
        <f t="shared" si="67"/>
        <v>2.0510583451635225E-3</v>
      </c>
      <c r="FH60" s="930">
        <f t="shared" si="64"/>
        <v>0.9979489416548365</v>
      </c>
      <c r="FI60" s="990">
        <f>$BW11+$BH11+$AS11+$AC11+$M11+$CL11+$DA11+$DP11+$EE11+$ET11+$FI11</f>
        <v>533871.25</v>
      </c>
      <c r="FJ60" s="990"/>
      <c r="FK60" s="1020">
        <f>$BY11+$BJ11+$AU11+$AE11+$O11+$CN11+$DC11+$DR11+$EG11+$EV11+$FK11</f>
        <v>4501.4000000001033</v>
      </c>
      <c r="FL60" s="1019"/>
      <c r="FM60" s="927"/>
      <c r="FN60" s="932">
        <v>6</v>
      </c>
      <c r="FO60" s="876" t="s">
        <v>151</v>
      </c>
      <c r="FP60" s="990">
        <f>$BO11+$AZ11+$AJ11+$T11+$D11+$CD11+$CS11+$DH11+$DW11+$EL11+$FA11+$FP11</f>
        <v>577160.53333333321</v>
      </c>
      <c r="FQ60" s="990">
        <f>$BP11+$BA11+$AK11+$U11+$E11+$CE11+$CT11+DI11+$DX11+$EM11+$FB11+$FQ11</f>
        <v>192.25000000000006</v>
      </c>
      <c r="FR60" s="39">
        <f>$BQ11+$BB11+$AL11+$V11+$F11+$CF11+$CU11+$DJ11+$DY11+$EN11+$FC11+$FR11</f>
        <v>539.08333333333348</v>
      </c>
      <c r="FS60" s="106">
        <f>$BR11+$BC11+$AM11+$W11+$G11+$CG11+$CV11+$DK11+$DZ11+$EO11+$FD11+$FS11</f>
        <v>1088</v>
      </c>
      <c r="FT60" s="785">
        <f>$BS11+$BD11+$AN11+$X11+$H11+$CH11+$CW11+$DL11+$EA11+$EP11+$FE11+$FT11</f>
        <v>0</v>
      </c>
      <c r="FU60" s="1016">
        <f>$BT11+$BE11+$AO11+$Y11+$I11+$CI11+$CX11+$DM11+$EB11+$EQ11+$FF11+$FU11</f>
        <v>576803.8666666667</v>
      </c>
      <c r="FV60" s="930">
        <f t="shared" si="65"/>
        <v>1.8827051612193195E-3</v>
      </c>
      <c r="FW60" s="930">
        <f t="shared" si="66"/>
        <v>0.99811729483878064</v>
      </c>
      <c r="FX60" s="990">
        <f>$BW11+$BH11+$AS11+$AC11+$M11+$CL11+$DA11+$DP11+$EE11+$ET11+$FI11+$FX11</f>
        <v>580729</v>
      </c>
      <c r="FY60" s="990"/>
      <c r="FZ60" s="1020">
        <f>$BY11+$BJ11+$AU11+$AE11+$O11+$CN11+$DC11+$DR11+$EG11+$EV11+$FK11+$FZ11</f>
        <v>3925.1333333334405</v>
      </c>
      <c r="GA60" s="1019"/>
    </row>
    <row r="61" spans="1:183">
      <c r="A61" s="906"/>
      <c r="B61" s="876"/>
      <c r="C61" s="876"/>
      <c r="D61" s="990"/>
      <c r="E61" s="990"/>
      <c r="F61" s="57"/>
      <c r="G61" s="106"/>
      <c r="H61" s="785"/>
      <c r="I61" s="1016"/>
      <c r="J61" s="1017"/>
      <c r="K61" s="930"/>
      <c r="L61" s="930"/>
      <c r="M61" s="990"/>
      <c r="N61" s="990"/>
      <c r="O61" s="1018"/>
      <c r="P61" s="1019"/>
      <c r="Q61" s="909"/>
      <c r="R61" s="932"/>
      <c r="S61" s="876"/>
      <c r="T61" s="990"/>
      <c r="U61" s="990"/>
      <c r="V61" s="55"/>
      <c r="W61" s="106"/>
      <c r="X61" s="785"/>
      <c r="Y61" s="1016"/>
      <c r="Z61" s="1017"/>
      <c r="AA61" s="930"/>
      <c r="AB61" s="930"/>
      <c r="AC61" s="990"/>
      <c r="AD61" s="990"/>
      <c r="AE61" s="1018"/>
      <c r="AF61" s="1019"/>
      <c r="AG61" s="911"/>
      <c r="AH61" s="876"/>
      <c r="AI61" s="876"/>
      <c r="AJ61" s="990"/>
      <c r="AK61" s="990"/>
      <c r="AL61" s="55"/>
      <c r="AM61" s="106"/>
      <c r="AN61" s="785"/>
      <c r="AO61" s="1016"/>
      <c r="AP61" s="1017"/>
      <c r="AQ61" s="930"/>
      <c r="AR61" s="930"/>
      <c r="AS61" s="990"/>
      <c r="AT61" s="990"/>
      <c r="AU61" s="1018"/>
      <c r="AV61" s="1019"/>
      <c r="AW61" s="913"/>
      <c r="AX61" s="876"/>
      <c r="AY61" s="876"/>
      <c r="AZ61" s="990"/>
      <c r="BA61" s="990"/>
      <c r="BB61" s="55"/>
      <c r="BC61" s="106"/>
      <c r="BD61" s="785"/>
      <c r="BE61" s="1016"/>
      <c r="BF61" s="930"/>
      <c r="BG61" s="930"/>
      <c r="BH61" s="990"/>
      <c r="BI61" s="990"/>
      <c r="BJ61" s="1018"/>
      <c r="BK61" s="1019"/>
      <c r="BL61" s="914"/>
      <c r="BM61" s="932"/>
      <c r="BN61" s="876"/>
      <c r="BO61" s="990"/>
      <c r="BP61" s="990"/>
      <c r="BQ61" s="39"/>
      <c r="BR61" s="106"/>
      <c r="BS61" s="785"/>
      <c r="BT61" s="1016"/>
      <c r="BU61" s="930"/>
      <c r="BV61" s="930"/>
      <c r="BW61" s="990"/>
      <c r="BX61" s="990"/>
      <c r="BY61" s="1018"/>
      <c r="BZ61" s="1019"/>
      <c r="CA61" s="915"/>
      <c r="CB61" s="876"/>
      <c r="CC61" s="876"/>
      <c r="CD61" s="990"/>
      <c r="CE61" s="990"/>
      <c r="CF61" s="39"/>
      <c r="CG61" s="106"/>
      <c r="CH61" s="785"/>
      <c r="CI61" s="1016"/>
      <c r="CJ61" s="930"/>
      <c r="CK61" s="930"/>
      <c r="CL61" s="990"/>
      <c r="CM61" s="990"/>
      <c r="CN61" s="1018"/>
      <c r="CO61" s="1019"/>
      <c r="CP61" s="919"/>
      <c r="CQ61" s="876"/>
      <c r="CR61" s="876"/>
      <c r="CS61" s="990"/>
      <c r="CT61" s="990"/>
      <c r="CU61" s="39"/>
      <c r="CV61" s="106"/>
      <c r="CW61" s="785"/>
      <c r="CX61" s="1016"/>
      <c r="CY61" s="930"/>
      <c r="CZ61" s="930"/>
      <c r="DA61" s="990"/>
      <c r="DB61" s="990"/>
      <c r="DC61" s="1018"/>
      <c r="DD61" s="1019"/>
      <c r="DE61" s="920"/>
      <c r="DF61" s="932"/>
      <c r="DG61" s="876"/>
      <c r="DH61" s="990"/>
      <c r="DI61" s="990"/>
      <c r="DJ61" s="39"/>
      <c r="DK61" s="106"/>
      <c r="DL61" s="785"/>
      <c r="DM61" s="1016"/>
      <c r="DN61" s="930"/>
      <c r="DO61" s="930"/>
      <c r="DP61" s="990"/>
      <c r="DQ61" s="990"/>
      <c r="DR61" s="1020"/>
      <c r="DS61" s="1019"/>
      <c r="DT61" s="921"/>
      <c r="DU61" s="932"/>
      <c r="DV61" s="876"/>
      <c r="DW61" s="990"/>
      <c r="DX61" s="990"/>
      <c r="DY61" s="39"/>
      <c r="DZ61" s="106"/>
      <c r="EA61" s="785"/>
      <c r="EB61" s="1016"/>
      <c r="EC61" s="930"/>
      <c r="ED61" s="930"/>
      <c r="EE61" s="990"/>
      <c r="EF61" s="990"/>
      <c r="EG61" s="1020"/>
      <c r="EH61" s="1019"/>
      <c r="EI61" s="941"/>
      <c r="EJ61" s="876"/>
      <c r="EK61" s="876"/>
      <c r="EL61" s="990"/>
      <c r="EM61" s="990"/>
      <c r="EN61" s="39"/>
      <c r="EO61" s="106"/>
      <c r="EP61" s="785"/>
      <c r="EQ61" s="1016"/>
      <c r="ER61" s="930"/>
      <c r="ES61" s="930"/>
      <c r="ET61" s="990"/>
      <c r="EU61" s="990"/>
      <c r="EV61" s="1020"/>
      <c r="EW61" s="1019"/>
      <c r="EX61" s="925"/>
      <c r="EY61" s="932"/>
      <c r="EZ61" s="876"/>
      <c r="FA61" s="990"/>
      <c r="FB61" s="990"/>
      <c r="FC61" s="39"/>
      <c r="FD61" s="106"/>
      <c r="FE61" s="785"/>
      <c r="FF61" s="1016"/>
      <c r="FG61" s="930"/>
      <c r="FH61" s="930"/>
      <c r="FI61" s="990"/>
      <c r="FJ61" s="990"/>
      <c r="FK61" s="1020"/>
      <c r="FL61" s="1019"/>
      <c r="FM61" s="927"/>
      <c r="FN61" s="932"/>
      <c r="FO61" s="876"/>
      <c r="FP61" s="990"/>
      <c r="FQ61" s="990"/>
      <c r="FR61" s="39"/>
      <c r="FS61" s="106"/>
      <c r="FT61" s="785"/>
      <c r="FU61" s="1016"/>
      <c r="FV61" s="930"/>
      <c r="FW61" s="930"/>
      <c r="FX61" s="990"/>
      <c r="FY61" s="990"/>
      <c r="FZ61" s="1020"/>
      <c r="GA61" s="1019"/>
    </row>
    <row r="62" spans="1:183">
      <c r="A62" s="906"/>
      <c r="B62" s="876">
        <v>7</v>
      </c>
      <c r="C62" s="1" t="s">
        <v>152</v>
      </c>
      <c r="D62" s="22">
        <f>SUM($D$13:D13)</f>
        <v>87082.166666666686</v>
      </c>
      <c r="E62" s="22">
        <f>SUM(E13:E13)</f>
        <v>123.64999999999998</v>
      </c>
      <c r="F62" s="56">
        <f t="shared" ref="F62:J64" si="77">F13</f>
        <v>0</v>
      </c>
      <c r="G62" s="38">
        <f t="shared" si="77"/>
        <v>710</v>
      </c>
      <c r="H62" s="25">
        <f t="shared" si="77"/>
        <v>0</v>
      </c>
      <c r="I62" s="21">
        <f t="shared" si="77"/>
        <v>86495.816666666695</v>
      </c>
      <c r="J62" s="69">
        <f t="shared" si="77"/>
        <v>84345</v>
      </c>
      <c r="K62" s="33">
        <f>(G62-H62)/(D62+E62+F62)</f>
        <v>8.1416587463871374E-3</v>
      </c>
      <c r="L62" s="33">
        <f>1-((G62-H62)/(D62+E62+F62))</f>
        <v>0.99185834125361283</v>
      </c>
      <c r="M62" s="22">
        <f t="shared" ref="M62:N64" si="78">M13</f>
        <v>87462</v>
      </c>
      <c r="N62" s="22">
        <f t="shared" si="78"/>
        <v>848</v>
      </c>
      <c r="O62" s="34">
        <f>SUM(O63:O64)</f>
        <v>966.1833333333052</v>
      </c>
      <c r="P62" s="35">
        <f>M13+N13-I13</f>
        <v>1814.1833333333052</v>
      </c>
      <c r="Q62" s="909"/>
      <c r="R62" s="932">
        <v>7</v>
      </c>
      <c r="S62" s="1" t="s">
        <v>152</v>
      </c>
      <c r="T62" s="22">
        <f t="shared" ref="T62:X64" si="79">T13+D13</f>
        <v>174673.45</v>
      </c>
      <c r="U62" s="22">
        <f t="shared" si="79"/>
        <v>261.23333333333335</v>
      </c>
      <c r="V62" s="56">
        <f t="shared" si="79"/>
        <v>0</v>
      </c>
      <c r="W62" s="38">
        <f t="shared" si="79"/>
        <v>1433</v>
      </c>
      <c r="X62" s="25">
        <f t="shared" si="79"/>
        <v>0</v>
      </c>
      <c r="Y62" s="21">
        <f t="shared" ref="Y62:Z64" si="80">Y13+I13</f>
        <v>173501.68333333335</v>
      </c>
      <c r="Z62" s="69">
        <f t="shared" si="80"/>
        <v>172059</v>
      </c>
      <c r="AA62" s="33">
        <f t="shared" si="41"/>
        <v>8.1916288565227341E-3</v>
      </c>
      <c r="AB62" s="33">
        <f t="shared" si="42"/>
        <v>0.99180837114347731</v>
      </c>
      <c r="AC62" s="22">
        <f t="shared" ref="AC62:AD64" si="81">AC13+M13</f>
        <v>175437</v>
      </c>
      <c r="AD62" s="22">
        <f t="shared" si="81"/>
        <v>1696</v>
      </c>
      <c r="AE62" s="34">
        <f>SUM(AE63:AE64)</f>
        <v>1935.3166666666439</v>
      </c>
      <c r="AF62" s="35">
        <f>AC13+AD13-Y13+M13+N13-I13</f>
        <v>3631.3166666666366</v>
      </c>
      <c r="AG62" s="911"/>
      <c r="AH62" s="876">
        <v>7</v>
      </c>
      <c r="AI62" s="1" t="s">
        <v>152</v>
      </c>
      <c r="AJ62" s="22">
        <f t="shared" ref="AJ62:AN64" si="82">AJ13+T13+D13</f>
        <v>257436.66666666669</v>
      </c>
      <c r="AK62" s="22">
        <f t="shared" si="82"/>
        <v>352.51666666666665</v>
      </c>
      <c r="AL62" s="56">
        <f t="shared" si="82"/>
        <v>0</v>
      </c>
      <c r="AM62" s="38">
        <f t="shared" si="82"/>
        <v>2216</v>
      </c>
      <c r="AN62" s="25">
        <f t="shared" si="82"/>
        <v>0</v>
      </c>
      <c r="AO62" s="21">
        <f t="shared" ref="AO62:AP64" si="83">AO13+Y13+I13</f>
        <v>255573.18333333335</v>
      </c>
      <c r="AP62" s="69">
        <f t="shared" si="83"/>
        <v>172059</v>
      </c>
      <c r="AQ62" s="33">
        <f t="shared" si="46"/>
        <v>8.596171380606801E-3</v>
      </c>
      <c r="AR62" s="33">
        <f t="shared" si="47"/>
        <v>0.99140382861939325</v>
      </c>
      <c r="AS62" s="22">
        <f t="shared" ref="AS62:AT64" si="84">AS13+AC13+M13</f>
        <v>258435</v>
      </c>
      <c r="AT62" s="22">
        <f t="shared" si="84"/>
        <v>2544</v>
      </c>
      <c r="AU62" s="34">
        <f>SUM(AU63:AU64)</f>
        <v>2861.8166666666366</v>
      </c>
      <c r="AV62" s="35">
        <f>AS13+AT13-AO13+AC13+AD13-Y13+M13+N13-I13</f>
        <v>5405.8166666666366</v>
      </c>
      <c r="AW62" s="913"/>
      <c r="AX62" s="876">
        <v>7</v>
      </c>
      <c r="AY62" s="1" t="s">
        <v>152</v>
      </c>
      <c r="AZ62" s="22">
        <f t="shared" ref="AZ62:BE64" si="85">AZ13+AJ13+T13+D13</f>
        <v>345971.43333333335</v>
      </c>
      <c r="BA62" s="22">
        <f t="shared" si="85"/>
        <v>484.70000000000005</v>
      </c>
      <c r="BB62" s="56">
        <f t="shared" si="85"/>
        <v>0</v>
      </c>
      <c r="BC62" s="38">
        <f t="shared" si="85"/>
        <v>2908</v>
      </c>
      <c r="BD62" s="25">
        <f t="shared" si="85"/>
        <v>0</v>
      </c>
      <c r="BE62" s="21">
        <f t="shared" si="85"/>
        <v>343548.13333333336</v>
      </c>
      <c r="BF62" s="33">
        <f t="shared" si="50"/>
        <v>8.3935590114150079E-3</v>
      </c>
      <c r="BG62" s="33">
        <f t="shared" si="51"/>
        <v>0.99160644098858497</v>
      </c>
      <c r="BH62" s="22">
        <f>BH13+AS13+AC13+M13</f>
        <v>347220</v>
      </c>
      <c r="BI62" s="22">
        <f>BI13+AT13+AD13+N13</f>
        <v>3392</v>
      </c>
      <c r="BJ62" s="34">
        <f>SUM(BJ63:BJ64)</f>
        <v>3671.8666666666177</v>
      </c>
      <c r="BK62" s="35">
        <f>M13+N13-I13+BH13+BI13-BE13+AS13+AT13-AO13+AC13+AD13-Y13</f>
        <v>7063.866666666625</v>
      </c>
      <c r="BL62" s="914"/>
      <c r="BM62" s="932">
        <v>7</v>
      </c>
      <c r="BN62" s="1" t="s">
        <v>152</v>
      </c>
      <c r="BO62" s="22">
        <f>$BO13+$AZ13+$AJ13+$T13+$D13</f>
        <v>429233.43333333341</v>
      </c>
      <c r="BP62" s="22">
        <f>$BP13+$BA13+$AK13+$U13+$E13</f>
        <v>484.70000000000005</v>
      </c>
      <c r="BQ62" s="40">
        <f>$BQ13+$BB13+$AL13+$V13+$F13</f>
        <v>0</v>
      </c>
      <c r="BR62" s="38">
        <f>$BR13+$BC13+$AM13+$W13+$G13</f>
        <v>2908</v>
      </c>
      <c r="BS62" s="25">
        <f>$BS13+$BD13+$AN13+$X13+$H13</f>
        <v>0</v>
      </c>
      <c r="BT62" s="21">
        <f>$BT13+$BE13+$AO13+$Y13+$I13</f>
        <v>426810.13333333336</v>
      </c>
      <c r="BU62" s="33">
        <f t="shared" si="52"/>
        <v>6.7672266409671321E-3</v>
      </c>
      <c r="BV62" s="33">
        <f t="shared" si="53"/>
        <v>0.99323277335903282</v>
      </c>
      <c r="BW62" s="22">
        <f>$BW13+$BH13+$AS13+$AC13+$M13</f>
        <v>430731.18666666665</v>
      </c>
      <c r="BX62" s="22">
        <f>$BX13+$BI13+$AT13+$AD13+$N13</f>
        <v>4240</v>
      </c>
      <c r="BY62" s="34">
        <f>SUM(BY63:BY64)</f>
        <v>3921.053333333286</v>
      </c>
      <c r="BZ62" s="35">
        <f>$AC13+$AD13-$Y13+$BW13+$BX13-$BT13+$BH13+$BI13-$BE13+$AS13+$AT13-$AO13+$M13+$N13-$I13</f>
        <v>8161.0533333333005</v>
      </c>
      <c r="CA62" s="915"/>
      <c r="CB62" s="876">
        <v>7</v>
      </c>
      <c r="CC62" s="1" t="s">
        <v>152</v>
      </c>
      <c r="CD62" s="22">
        <f>$BO13+$AZ13+$AJ13+$T13+$D13+$CD13</f>
        <v>515099.41666666674</v>
      </c>
      <c r="CE62" s="22">
        <f>$BP13+$BA13+$AK13+$U13+$E13+$CE13</f>
        <v>484.70000000000005</v>
      </c>
      <c r="CF62" s="40">
        <f>$BQ13+$BB13+$AL13+$V13+$F13+$CF13</f>
        <v>0</v>
      </c>
      <c r="CG62" s="38">
        <f>$BR13+$BC13+$AM13+$W13+$G13+$CG13</f>
        <v>2908</v>
      </c>
      <c r="CH62" s="25">
        <f>$BS13+$BD13+$AN13+$X13+$H13+$CH13</f>
        <v>0</v>
      </c>
      <c r="CI62" s="21">
        <f>$BT13+$BE13+$AO13+$Y13+$I13+$CI13</f>
        <v>512676.1166666667</v>
      </c>
      <c r="CJ62" s="33">
        <f t="shared" si="54"/>
        <v>5.6402047813277918E-3</v>
      </c>
      <c r="CK62" s="33">
        <f t="shared" si="55"/>
        <v>0.99435979521867224</v>
      </c>
      <c r="CL62" s="22">
        <f>$BW13+$BH13+$AS13+$AC13+$M13+$CL13</f>
        <v>516869.18666666665</v>
      </c>
      <c r="CM62" s="22">
        <f>$BX13+$BI13+$AT13+$AD13+$N13+$CM13</f>
        <v>5088</v>
      </c>
      <c r="CN62" s="34">
        <f>SUM(CN63:CN64)</f>
        <v>4193.0699999999342</v>
      </c>
      <c r="CO62" s="35">
        <f>$AC13+$AD13-$Y13+$BW13+$BX13-$BT13+$BH13+$BI13-$BE13+$AS13+$AT13-$AO13+$M13+$N13-$I13+$CL13+$CM13-$CI13</f>
        <v>9281.0699999999488</v>
      </c>
      <c r="CP62" s="919"/>
      <c r="CQ62" s="876">
        <v>7</v>
      </c>
      <c r="CR62" s="1" t="s">
        <v>152</v>
      </c>
      <c r="CS62" s="22">
        <f>$BO13+$AZ13+$AJ13+$T13+$D13+$CD13+$CS13</f>
        <v>602274.08333333337</v>
      </c>
      <c r="CT62" s="22">
        <f>$BP13+$BA13+$AK13+$U13+$E13+$CE13+$CT13</f>
        <v>484.70000000000005</v>
      </c>
      <c r="CU62" s="40">
        <f>$BQ13+$BB13+$AL13+$V13+$F13+$CF13+$CU13</f>
        <v>0</v>
      </c>
      <c r="CV62" s="38">
        <f>$BR13+$BC13+$AM13+$W13+$G13+$CG13+$CV13</f>
        <v>2908</v>
      </c>
      <c r="CW62" s="25">
        <f>$BS13+$BD13+$AN13+$X13+$H13+$CH13+$CW13</f>
        <v>0</v>
      </c>
      <c r="CX62" s="21">
        <f>$BT13+$BE13+$AO13+$Y13+$I13+$CI13+$CX13</f>
        <v>599850.78333333333</v>
      </c>
      <c r="CY62" s="33">
        <f t="shared" si="56"/>
        <v>4.8244838240570917E-3</v>
      </c>
      <c r="CZ62" s="33">
        <f t="shared" si="57"/>
        <v>0.99517551617594291</v>
      </c>
      <c r="DA62" s="22">
        <f>$BW13+$BH13+$AS13+$AC13+$M13+$CL13+$DA13</f>
        <v>604331.18666666665</v>
      </c>
      <c r="DB62" s="22">
        <f>$BX13+$BI13+$AT13+$AD13+$N13+$CM13+$DB13</f>
        <v>5936</v>
      </c>
      <c r="DC62" s="34">
        <f>SUM(DC63:DC64)</f>
        <v>4480.40333333327</v>
      </c>
      <c r="DD62" s="35">
        <f>$AC13+$AD13-$Y13+$BW13+$BX13-$BT13+$BH13+$BI13-$BE13+$AS13+$AT13-$AO13+$M13+$N13-$I13+$CL13+$CM13-$CI13+$DA13+$DB13-$CX13</f>
        <v>10416.403333333292</v>
      </c>
      <c r="DE62" s="920"/>
      <c r="DF62" s="932">
        <v>7</v>
      </c>
      <c r="DG62" s="1" t="s">
        <v>152</v>
      </c>
      <c r="DH62" s="22">
        <f>$BO13+$AZ13+$AJ13+$T13+$D13+$CD13+$CS13+$DH13</f>
        <v>681407.08333333337</v>
      </c>
      <c r="DI62" s="22">
        <f>$BP13+$BA13+$AK13+$U13+$E13+$CE13+$CT13+$DJ13</f>
        <v>484.70000000000005</v>
      </c>
      <c r="DJ62" s="40">
        <f>$BQ13+$BB13+$AL13+$V13+$F13+$CF13+$CU13+$DJ13</f>
        <v>0</v>
      </c>
      <c r="DK62" s="38">
        <f>$BR13+$BC13+$AM13+$W13+$G13+$CG13+$CV13+$DK13</f>
        <v>2908</v>
      </c>
      <c r="DL62" s="25">
        <f>$BS13+$BD13+$AN13+$X13+$H13+$CH13+$CW13+DL13</f>
        <v>0</v>
      </c>
      <c r="DM62" s="21">
        <f>$BT13+$BE13+$AO13+$Y13+$I13+$CI13+$CX13+DM13</f>
        <v>678983.78333333333</v>
      </c>
      <c r="DN62" s="33">
        <f t="shared" si="58"/>
        <v>4.264606307154261E-3</v>
      </c>
      <c r="DO62" s="33">
        <f t="shared" si="59"/>
        <v>0.99573539369284569</v>
      </c>
      <c r="DP62" s="22">
        <f>$BW13+$BH13+$AS13+$AC13+$M13+$CL13+$DA13+$DP13</f>
        <v>685513.18666666665</v>
      </c>
      <c r="DQ62" s="22">
        <f>$BX13+$BI13+$AT13+$AD13+$N13+$CM13+$DB13+$DQ13</f>
        <v>6784</v>
      </c>
      <c r="DR62" s="34">
        <f>SUM(DR63:DR64)</f>
        <v>6529.4033333332627</v>
      </c>
      <c r="DS62" s="35">
        <f>$AC13+$AD13-$Y13+$BW13+$BX13-$BT13+$BH13+$BI13-$BE13+$AS13+$AT13-$AO13+$M13+$N13-$I13+$CL13+$CM13-$CI13+$DA13+$DB13-$CX13+$DP13+$DQ13-$DM13</f>
        <v>13313.403333333292</v>
      </c>
      <c r="DT62" s="921"/>
      <c r="DU62" s="932">
        <v>7</v>
      </c>
      <c r="DV62" s="1" t="s">
        <v>152</v>
      </c>
      <c r="DW62" s="22">
        <f>$BO13+$AZ13+$AJ13+$T13+$D13+$CD13+$CS13+$DH13+$DW13</f>
        <v>767787.75000000012</v>
      </c>
      <c r="DX62" s="22">
        <f>$BP13+$BA13+$AK13+$U13+$E13+$CE13+$CT13+$DJ13+$DX13</f>
        <v>484.70000000000005</v>
      </c>
      <c r="DY62" s="40">
        <f>$BQ13+$BB13+$AL13+$V13+$F13+$CF13+$CU13+$DJ13+$DY13</f>
        <v>0</v>
      </c>
      <c r="DZ62" s="38">
        <f>$BR13+$BC13+$AM13+$W13+$G13+$CG13+$CV13+$DK13+$DZ13</f>
        <v>2908</v>
      </c>
      <c r="EA62" s="785">
        <f>$BS13+$BD13+$AN13+$X13+$H13+$CH13+$CW13+$DL13+$EA13</f>
        <v>0</v>
      </c>
      <c r="EB62" s="21">
        <f>$BT13+$BE13+$AO13+$Y13+$I13+$CI13+$CX13+$DM13+$EB13</f>
        <v>765364.45000000007</v>
      </c>
      <c r="EC62" s="33">
        <f t="shared" si="60"/>
        <v>3.7851155537335741E-3</v>
      </c>
      <c r="ED62" s="33">
        <f t="shared" si="61"/>
        <v>0.99621488444626638</v>
      </c>
      <c r="EE62" s="22">
        <f>$BW13+$BH13+$AS13+$AC13+$M13+$CL13+$DA13+$DP13+$EE13</f>
        <v>770348.18666666665</v>
      </c>
      <c r="EF62" s="22">
        <f>$BX13+$BI13+$AT13+$AD13+$N13+$CM13+$DB13+$DQ13+$EF13</f>
        <v>7632</v>
      </c>
      <c r="EG62" s="34">
        <f>SUM(EG63:EG64)</f>
        <v>4983.7366666665621</v>
      </c>
      <c r="EH62" s="35">
        <f>$AC13+$AD13-$Y13+$BW13+$BX13-$BT13+$BH13+$BI13-$BE13+$AS13+$AT13-$AO13+$M13+$N13-$I13+$CL13+$CM13-$CI13+$DA13+$DB13-$CX13+$DP13+$DQ13-$DM13+$EE13+$EF13-$EB13</f>
        <v>12615.736666666591</v>
      </c>
      <c r="EI62" s="941"/>
      <c r="EJ62" s="876">
        <v>7</v>
      </c>
      <c r="EK62" s="1" t="s">
        <v>152</v>
      </c>
      <c r="EL62" s="22">
        <f>$BO13+$AZ13+$AJ13+$T13+$D13+$CD13+$CS13+$DH13+$DW13+$EL13</f>
        <v>853158.88333333342</v>
      </c>
      <c r="EM62" s="22">
        <f>$BP13+$BA13+$AK13+$U13+$E13+$CE13+$CT13+$DJ13+$DX13+$EM13</f>
        <v>484.70000000000005</v>
      </c>
      <c r="EN62" s="40">
        <f>$BQ13+$BB13+$AL13+$V13+$F13+$CF13+$CU13+$DJ13+$DY13+$EN13</f>
        <v>0</v>
      </c>
      <c r="EO62" s="38">
        <f>$BR13+$BC13+$AM13+$W13+$G13+$CG13+$CV13+$DK13+$DZ13+$EO13</f>
        <v>2908</v>
      </c>
      <c r="EP62" s="785">
        <f>$BS13+$BD13+$AN13+$X13+$H13+$CH13+$CW13+$DL13+$EA13+$EP13</f>
        <v>0</v>
      </c>
      <c r="EQ62" s="21">
        <f>$BT13+$BE13+$AO13+$Y13+$I13+$CI13+$CX13+$DM13+$EB13+$EQ13</f>
        <v>850735.58333333337</v>
      </c>
      <c r="ER62" s="33">
        <f t="shared" si="62"/>
        <v>3.406573957534775E-3</v>
      </c>
      <c r="ES62" s="33">
        <f t="shared" si="63"/>
        <v>0.99659342604246526</v>
      </c>
      <c r="ET62" s="22">
        <f>$BW13+$BH13+$AS13+$AC13+$M13+$CL13+$DA13+$DP13+$EE13+$ET13</f>
        <v>855994.18666666665</v>
      </c>
      <c r="EU62" s="22">
        <f>$BX13+$BI13+$AT13+$AD13+$N13+$CM13+$DB13+$DQ13+$EF13+$EU13</f>
        <v>8480</v>
      </c>
      <c r="EV62" s="34">
        <f>SUM(EV63:EV64)</f>
        <v>5258.603333333238</v>
      </c>
      <c r="EW62" s="35">
        <f>$AC13+$AD13-$Y13+$BW13+$BX13-$BT13+$BH13+$BI13-$BE13+$AS13+$AT13-$AO13+$M13+$N13-$I13+$CL13+$CM13-$CI13+$DA13+$DB13-$CX13+$DP13+$DQ13-$DM13+$EE13+$EF13-$EB13+$ET13+$EU13-$EQ13</f>
        <v>13738.60333333326</v>
      </c>
      <c r="EX62" s="925"/>
      <c r="EY62" s="932">
        <v>7</v>
      </c>
      <c r="EZ62" s="1" t="s">
        <v>152</v>
      </c>
      <c r="FA62" s="22">
        <f>$BO13+$AZ13+$AJ13+$T13+$D13+$CD13+$CS13+$DH13+$DW13+$EL13+$FA13</f>
        <v>939573.38333333342</v>
      </c>
      <c r="FB62" s="22">
        <f>$BP13+$BA13+$AK13+$U13+$E13+$CE13+$CT13+$DJ13+$DX13+$EM13+$FB13</f>
        <v>484.70000000000005</v>
      </c>
      <c r="FC62" s="40">
        <f>$BQ13+$BB13+$AL13+$V13+$F13+$CF13+$CU13+$DJ13+$DY13+$EN13+$FC13</f>
        <v>0</v>
      </c>
      <c r="FD62" s="38">
        <f>$BR13+$BC13+$AM13+$W13+$G13+$CG13+$CV13+$DK13+$DZ13+$EO13+$FD13</f>
        <v>2908</v>
      </c>
      <c r="FE62" s="785">
        <f>$BS13+$BD13+$AN13+$X13+$H13+$CH13+$CW13+$DL13+$EA13+$EP13+$FE13</f>
        <v>0</v>
      </c>
      <c r="FF62" s="21">
        <f>$BT13+$BE13+$AO13+$Y13+$I13+$CI13+$CX13+$DM13+$EB13+$EQ13+$FF13</f>
        <v>937150.08333333337</v>
      </c>
      <c r="FG62" s="33">
        <f t="shared" si="67"/>
        <v>3.0934258760784016E-3</v>
      </c>
      <c r="FH62" s="33">
        <f t="shared" si="64"/>
        <v>0.99690657412392158</v>
      </c>
      <c r="FI62" s="22">
        <f>$BW13+$BH13+$AS13+$AC13+$M13+$CL13+$DA13+$DP13+$EE13+$ET13+$FI13</f>
        <v>944460.18666666665</v>
      </c>
      <c r="FJ62" s="22">
        <f>$BX13+$BI13+$AT13+$AD13+$N13+$CM13+$DB13+$DQ13+$EF13+$EU13+$FJ13</f>
        <v>9328</v>
      </c>
      <c r="FK62" s="34">
        <f>SUM(FK63:FK64)</f>
        <v>7310.103333333238</v>
      </c>
      <c r="FL62" s="35">
        <f>$AC13+$AD13-$Y13+$BW13+$BX13-$BT13+$BH13+$BI13-$BE13+$AS13+$AT13-$AO13+$M13+$N13-$I13+$CL13+$CM13-$CI13+$DA13+$DB13-$CX13+$DP13+$DQ13-$DM13+$EE13+$EF13-$EB13+$ET13+$EU13-$EQ13+$FI13+$FJ13-$FF13</f>
        <v>16638.10333333326</v>
      </c>
      <c r="FM62" s="927"/>
      <c r="FN62" s="932">
        <v>7</v>
      </c>
      <c r="FO62" s="1" t="s">
        <v>152</v>
      </c>
      <c r="FP62" s="22">
        <f>$BO13+$AZ13+$AJ13+$T13+$D13+$CD13+$CS13+$DH13+$DW13+$EL13+$FA13+$FP13</f>
        <v>1023630.2666666667</v>
      </c>
      <c r="FQ62" s="22">
        <f>$BP13+$BA13+$AK13+$U13+$E13+$CE13+$CT13+$DI13+$DX13+$EM13+$FB13+$FQ13</f>
        <v>484.70000000000005</v>
      </c>
      <c r="FR62" s="40">
        <f>$BQ13+$BB13+$AL13+$V13+$F13+$CF13+$CU13+$DJ13+$DY13+$EN13+$FC13+$FR13</f>
        <v>0</v>
      </c>
      <c r="FS62" s="38">
        <f>$BR13+$BC13+$AM13+$W13+$G13+$CG13+$CV13+$DK13+$DZ13+$EO13+$FD13+$FS13</f>
        <v>2908</v>
      </c>
      <c r="FT62" s="785">
        <f>$BS13+$BD13+$AN13+$X13+$H13+$CH13+$CW13+$DL13+$EA13+$EP13+$FE13+$FT13</f>
        <v>0</v>
      </c>
      <c r="FU62" s="21">
        <f>$BT13+$BE13+$AO13+$Y13+$I13+$CI13+$CX13+$DM13+$EB13+$EQ13+$FF13+$FU13</f>
        <v>1021206.9666666667</v>
      </c>
      <c r="FV62" s="33">
        <f t="shared" si="65"/>
        <v>2.839524950470242E-3</v>
      </c>
      <c r="FW62" s="33">
        <f t="shared" si="66"/>
        <v>0.99716047504952976</v>
      </c>
      <c r="FX62" s="22">
        <f>$BW13+$BH13+$AS13+$AC13+$M13+$CL13+$DA13+$DP13+$EE13+$ET13+$FI13+$FX13</f>
        <v>1026966.1576666667</v>
      </c>
      <c r="FY62" s="22">
        <f>$BX13+$BI13+$AT13+$AD13+$N13+$CM13+$DB13+$DQ13+$EF13+$EU13+$FJ13+$FY13</f>
        <v>10176</v>
      </c>
      <c r="FZ62" s="34">
        <f>SUM(FZ63:FZ64)</f>
        <v>5759.190999999897</v>
      </c>
      <c r="GA62" s="35">
        <f>$AC13+$AD13-$Y13+$BW13+$BX13-$BT13+$BH13+$BI13-$BE13+$AS13+$AT13-$AO13+$M13+$N13-$I13+$CL13+$CM13-$CI13+$DA13+$DB13-$CX13+$DP13+$DQ13-$DM13+$EE13+$EF13-$EB13+$ET13+$EU13-$EQ13+$FI13+$FJ13-$FF13+$FX13+$FY13-$FU13</f>
        <v>15935.190999999919</v>
      </c>
    </row>
    <row r="63" spans="1:183">
      <c r="A63" s="906"/>
      <c r="B63" s="876">
        <v>8</v>
      </c>
      <c r="C63" s="876" t="s">
        <v>153</v>
      </c>
      <c r="D63" s="990">
        <f>SUM($D$14:D14)</f>
        <v>43651.733333333352</v>
      </c>
      <c r="E63" s="990">
        <f>SUM(E14:E14)</f>
        <v>2.7833333333333332</v>
      </c>
      <c r="F63" s="57">
        <f t="shared" si="77"/>
        <v>0</v>
      </c>
      <c r="G63" s="106">
        <f t="shared" si="77"/>
        <v>224</v>
      </c>
      <c r="H63" s="785">
        <f t="shared" si="77"/>
        <v>0</v>
      </c>
      <c r="I63" s="1016">
        <f t="shared" si="77"/>
        <v>43430.516666666685</v>
      </c>
      <c r="J63" s="1017">
        <f t="shared" si="77"/>
        <v>42584</v>
      </c>
      <c r="K63" s="930">
        <f>(G63-H63)/(D63+E63+F63)</f>
        <v>5.1311987190328888E-3</v>
      </c>
      <c r="L63" s="930">
        <f>1-((G63-H63)/(D63+E63+F63))</f>
        <v>0.99486880128096711</v>
      </c>
      <c r="M63" s="990">
        <f t="shared" si="78"/>
        <v>43787</v>
      </c>
      <c r="N63" s="990">
        <f t="shared" si="78"/>
        <v>0</v>
      </c>
      <c r="O63" s="1018">
        <f>O14</f>
        <v>356.48333333331539</v>
      </c>
      <c r="P63" s="1019"/>
      <c r="Q63" s="909"/>
      <c r="R63" s="932">
        <v>8</v>
      </c>
      <c r="S63" s="876" t="s">
        <v>153</v>
      </c>
      <c r="T63" s="990">
        <f t="shared" si="79"/>
        <v>87558.683333333349</v>
      </c>
      <c r="U63" s="990">
        <f t="shared" si="79"/>
        <v>48.983333333333334</v>
      </c>
      <c r="V63" s="57">
        <f t="shared" si="79"/>
        <v>0</v>
      </c>
      <c r="W63" s="106">
        <f t="shared" si="79"/>
        <v>499</v>
      </c>
      <c r="X63" s="785">
        <f t="shared" si="79"/>
        <v>0</v>
      </c>
      <c r="Y63" s="1016">
        <f t="shared" si="80"/>
        <v>87108.666666666686</v>
      </c>
      <c r="Z63" s="1017">
        <f t="shared" si="80"/>
        <v>86555</v>
      </c>
      <c r="AA63" s="930">
        <f t="shared" si="41"/>
        <v>5.6958485368479913E-3</v>
      </c>
      <c r="AB63" s="930">
        <f t="shared" si="42"/>
        <v>0.99430415146315199</v>
      </c>
      <c r="AC63" s="990">
        <f t="shared" si="81"/>
        <v>87831</v>
      </c>
      <c r="AD63" s="990">
        <f t="shared" si="81"/>
        <v>0</v>
      </c>
      <c r="AE63" s="1018">
        <f>AE14+O14</f>
        <v>722.33333333332121</v>
      </c>
      <c r="AF63" s="1019"/>
      <c r="AG63" s="911"/>
      <c r="AH63" s="876">
        <v>8</v>
      </c>
      <c r="AI63" s="876" t="s">
        <v>153</v>
      </c>
      <c r="AJ63" s="990">
        <f t="shared" si="82"/>
        <v>129038.75000000001</v>
      </c>
      <c r="AK63" s="990">
        <f t="shared" si="82"/>
        <v>107.79999999999998</v>
      </c>
      <c r="AL63" s="57">
        <f t="shared" si="82"/>
        <v>0</v>
      </c>
      <c r="AM63" s="106">
        <f t="shared" si="82"/>
        <v>771</v>
      </c>
      <c r="AN63" s="785">
        <f t="shared" si="82"/>
        <v>0</v>
      </c>
      <c r="AO63" s="1016">
        <f t="shared" si="83"/>
        <v>128375.55000000002</v>
      </c>
      <c r="AP63" s="1017">
        <f t="shared" si="83"/>
        <v>86555</v>
      </c>
      <c r="AQ63" s="930">
        <f t="shared" si="46"/>
        <v>5.9699620315060674E-3</v>
      </c>
      <c r="AR63" s="930">
        <f t="shared" si="47"/>
        <v>0.99403003796849398</v>
      </c>
      <c r="AS63" s="990">
        <f t="shared" si="84"/>
        <v>129370</v>
      </c>
      <c r="AT63" s="990">
        <f t="shared" si="84"/>
        <v>0</v>
      </c>
      <c r="AU63" s="1018">
        <f>AU14+AE14+O14</f>
        <v>994.44999999998254</v>
      </c>
      <c r="AV63" s="1019"/>
      <c r="AW63" s="913"/>
      <c r="AX63" s="876">
        <v>8</v>
      </c>
      <c r="AY63" s="876" t="s">
        <v>153</v>
      </c>
      <c r="AZ63" s="990">
        <f t="shared" si="85"/>
        <v>173445.30000000002</v>
      </c>
      <c r="BA63" s="990">
        <f t="shared" si="85"/>
        <v>217.76666666666668</v>
      </c>
      <c r="BB63" s="57">
        <f t="shared" si="85"/>
        <v>0</v>
      </c>
      <c r="BC63" s="106">
        <f t="shared" si="85"/>
        <v>1037</v>
      </c>
      <c r="BD63" s="785">
        <f t="shared" si="85"/>
        <v>0</v>
      </c>
      <c r="BE63" s="1016">
        <f t="shared" si="85"/>
        <v>172626.06666666668</v>
      </c>
      <c r="BF63" s="930">
        <f t="shared" si="50"/>
        <v>5.9713329950025831E-3</v>
      </c>
      <c r="BG63" s="930">
        <f t="shared" si="51"/>
        <v>0.99402866700499737</v>
      </c>
      <c r="BH63" s="990">
        <f>BH14+AS14+AC14+M14</f>
        <v>173830</v>
      </c>
      <c r="BI63" s="990"/>
      <c r="BJ63" s="1018">
        <f>BJ14+AU14+AE14+O14</f>
        <v>1203.9333333333125</v>
      </c>
      <c r="BK63" s="1019"/>
      <c r="BL63" s="914"/>
      <c r="BM63" s="932">
        <v>8</v>
      </c>
      <c r="BN63" s="876" t="s">
        <v>153</v>
      </c>
      <c r="BO63" s="990">
        <f>$BO14+$AZ14+$AJ14+$T14+$D14</f>
        <v>215174.05</v>
      </c>
      <c r="BP63" s="990">
        <f>$BP14+$BA14+$AK14+$U14+$E14</f>
        <v>217.76666666666668</v>
      </c>
      <c r="BQ63" s="41">
        <f>$BQ14+$BB14+$AL14+$V14+$F14</f>
        <v>0</v>
      </c>
      <c r="BR63" s="106">
        <f>$BR14+$BC14+$AM14+$W14+$G14</f>
        <v>1037</v>
      </c>
      <c r="BS63" s="785">
        <f>$BS14+$BD14+$AN14+$X14+$H14</f>
        <v>0</v>
      </c>
      <c r="BT63" s="1016">
        <f>$BT14+$BE14+$AO14+$Y14+$I14</f>
        <v>214354.81666666668</v>
      </c>
      <c r="BU63" s="930">
        <f t="shared" si="52"/>
        <v>4.8144818872335685E-3</v>
      </c>
      <c r="BV63" s="930">
        <f t="shared" si="53"/>
        <v>0.99518551811276645</v>
      </c>
      <c r="BW63" s="990">
        <f>$BW14+$BH14+$AS14+$AC14+$M14</f>
        <v>215626.18666666668</v>
      </c>
      <c r="BX63" s="990"/>
      <c r="BY63" s="1018">
        <f>$BY14+$BJ14+$AU14+$AE14+$O14</f>
        <v>1271.3699999999808</v>
      </c>
      <c r="BZ63" s="1019"/>
      <c r="CA63" s="915"/>
      <c r="CB63" s="876">
        <v>8</v>
      </c>
      <c r="CC63" s="876" t="s">
        <v>153</v>
      </c>
      <c r="CD63" s="990">
        <f>$BO14+$AZ14+$AJ14+$T14+$D14+$CD14</f>
        <v>258211.23333333334</v>
      </c>
      <c r="CE63" s="990">
        <f>$BP14+$BA14+$AK14+$U14+$E14+$CE14</f>
        <v>217.76666666666668</v>
      </c>
      <c r="CF63" s="41">
        <f>$BQ14+$BB14+$AL14+$V14+$F14+$CF14</f>
        <v>0</v>
      </c>
      <c r="CG63" s="106">
        <f>$BR14+$BC14+$AM14+$W14+$G14+$CG14</f>
        <v>1037</v>
      </c>
      <c r="CH63" s="785">
        <f>$BS14+$BD14+$AN14+$X14+$H14+$CH14</f>
        <v>0</v>
      </c>
      <c r="CI63" s="1016">
        <f>$BT14+$BE14+$AO14+$Y14+$I14+$CI14</f>
        <v>257392.00000000003</v>
      </c>
      <c r="CJ63" s="930">
        <f t="shared" si="54"/>
        <v>4.0127075521710024E-3</v>
      </c>
      <c r="CK63" s="930">
        <f t="shared" si="55"/>
        <v>0.99598729244782902</v>
      </c>
      <c r="CL63" s="990">
        <f>$BW14+$BH14+$AS14+$AC14+$M14+$CL14</f>
        <v>258740.18666666668</v>
      </c>
      <c r="CM63" s="990"/>
      <c r="CN63" s="1018">
        <f>$BY14+$BJ14+$AU14+$AE14+$O14+$CN14</f>
        <v>1348.1866666666319</v>
      </c>
      <c r="CO63" s="1019"/>
      <c r="CP63" s="919"/>
      <c r="CQ63" s="876">
        <v>8</v>
      </c>
      <c r="CR63" s="876" t="s">
        <v>153</v>
      </c>
      <c r="CS63" s="990">
        <f>$BO14+$AZ14+$AJ14+$T14+$D14+$CD14+$CS14</f>
        <v>301917.76666666666</v>
      </c>
      <c r="CT63" s="990">
        <f>$BP14+$BA14+$AK14+$U14+$E14+$CE14+$CT14</f>
        <v>217.76666666666668</v>
      </c>
      <c r="CU63" s="41">
        <f>$BQ14+$BB14+$AL14+$V14+$F14+$CF14+$CU14</f>
        <v>0</v>
      </c>
      <c r="CV63" s="106">
        <f>$BR14+$BC14+$AM14+$W14+$G14+$CG14+$CV14</f>
        <v>1037</v>
      </c>
      <c r="CW63" s="785">
        <f>$BS14+$BD14+$AN14+$X14+$H14+$CH14+$CW14</f>
        <v>0</v>
      </c>
      <c r="CX63" s="1016">
        <f>$BT14+$BE14+$AO14+$Y14+$I14+$CI14+$CX14</f>
        <v>301098.53333333333</v>
      </c>
      <c r="CY63" s="930">
        <f t="shared" si="56"/>
        <v>3.4322344960859728E-3</v>
      </c>
      <c r="CZ63" s="930">
        <f t="shared" si="57"/>
        <v>0.99656776550391402</v>
      </c>
      <c r="DA63" s="990">
        <f>$BW14+$BH14+$AS14+$AC14+$M14+$CL14+$DA14</f>
        <v>302527.18666666665</v>
      </c>
      <c r="DB63" s="990"/>
      <c r="DC63" s="1018">
        <f>$BY14+$BJ14+$AU14+$AE14+$O14+$CN14+$DC14</f>
        <v>1428.6533333333064</v>
      </c>
      <c r="DD63" s="1019"/>
      <c r="DE63" s="920"/>
      <c r="DF63" s="932">
        <v>8</v>
      </c>
      <c r="DG63" s="876" t="s">
        <v>153</v>
      </c>
      <c r="DH63" s="990">
        <f>$BO14+$AZ14+$AJ14+$T14+$D14+$CD14+$CS14+$DH14</f>
        <v>341597.5</v>
      </c>
      <c r="DI63" s="990">
        <f>$BP14+$BA14+$AK14+$U14+$E14+$CE14+$CT14+$DJ14</f>
        <v>217.76666666666668</v>
      </c>
      <c r="DJ63" s="41">
        <f>$BQ14+$BB14+$AL14+$V14+$F14+$CF14+$CU14+$DJ14</f>
        <v>0</v>
      </c>
      <c r="DK63" s="106">
        <f>$BR14+$BC14+$AM14+$W14+$G14+$CG14+$CV14+$DK14</f>
        <v>1037</v>
      </c>
      <c r="DL63" s="785">
        <f>$BS14+$BD14+$AN14+$X14+$H14+$CH14+$CW14+DL14</f>
        <v>0</v>
      </c>
      <c r="DM63" s="1016">
        <f>$BT14+$BE14+$AO14+$Y14+$I14+$CI14+$CX14+DM14</f>
        <v>340778.26666666666</v>
      </c>
      <c r="DN63" s="930">
        <f t="shared" si="58"/>
        <v>3.0338024691309866E-3</v>
      </c>
      <c r="DO63" s="930">
        <f t="shared" si="59"/>
        <v>0.99696619753086901</v>
      </c>
      <c r="DP63" s="990">
        <f>$BW14+$BH14+$AS14+$AC14+$M14+$CL14+$DA14+$DP14</f>
        <v>343164.18666666665</v>
      </c>
      <c r="DQ63" s="990"/>
      <c r="DR63" s="1020">
        <f>$BY14+$BJ14+$AU14+$AE14+$O14+$CN14+$DC14+$DR14</f>
        <v>2385.9199999999691</v>
      </c>
      <c r="DS63" s="1019"/>
      <c r="DT63" s="921"/>
      <c r="DU63" s="932">
        <v>8</v>
      </c>
      <c r="DV63" s="876" t="s">
        <v>153</v>
      </c>
      <c r="DW63" s="990">
        <f>$BO14+$AZ14+$AJ14+$T14+$D14+$CD14+$CS14+$DH14+$DW14</f>
        <v>384892.83333333337</v>
      </c>
      <c r="DX63" s="990">
        <f>$BP14+$BA14+$AK14+$U14+$E14+$CE14+$CT14+$DJ14+$DX14</f>
        <v>217.76666666666668</v>
      </c>
      <c r="DY63" s="41">
        <f>$BQ14+$BB14+$AL14+$V14+$F14+$CF14+$CU14+$DJ14+$DY14</f>
        <v>0</v>
      </c>
      <c r="DZ63" s="106">
        <f>$BR14+$BC14+$AM14+$W14+$G14+$CG14+$CV14+$DK14+$DZ14</f>
        <v>1037</v>
      </c>
      <c r="EA63" s="785">
        <f>$BS14+$BD14+$AN14+$X14+$H14+$CH14+$CW14+$DL14+$EA14</f>
        <v>0</v>
      </c>
      <c r="EB63" s="1016">
        <f>$BT14+$BE14+$AO14+$Y14+$I14+$CI14+$CX14+$DM14+$EB14</f>
        <v>384073.60000000003</v>
      </c>
      <c r="EC63" s="930">
        <f t="shared" si="60"/>
        <v>2.6927329447696321E-3</v>
      </c>
      <c r="ED63" s="930">
        <f t="shared" si="61"/>
        <v>0.99730726705523032</v>
      </c>
      <c r="EE63" s="990">
        <f>$BW14+$BH14+$AS14+$AC14+$M14+$CL14+$DA14+$DP14+$EE14</f>
        <v>385633.18666666665</v>
      </c>
      <c r="EF63" s="990"/>
      <c r="EG63" s="1020">
        <f>$BY14+$BJ14+$AU14+$AE14+$O14+$CN14+$DC14+$DR14+$EG14</f>
        <v>1559.5866666666188</v>
      </c>
      <c r="EH63" s="1019"/>
      <c r="EI63" s="941"/>
      <c r="EJ63" s="876">
        <v>8</v>
      </c>
      <c r="EK63" s="876" t="s">
        <v>153</v>
      </c>
      <c r="EL63" s="990">
        <f>$BO14+$AZ14+$AJ14+$T14+$D14+$CD14+$CS14+$DH14+$DW14+$EL14</f>
        <v>427705.06666666671</v>
      </c>
      <c r="EM63" s="990">
        <f>$BP14+$BA14+$AK14+$U14+$E14+$CE14+$CT14+$DJ14+$DX14+$EM14</f>
        <v>217.76666666666668</v>
      </c>
      <c r="EN63" s="41">
        <f>$BQ14+$BB14+$AL14+$V14+$F14+$CF14+$CU14+$DJ14+$DY14+$EN14</f>
        <v>0</v>
      </c>
      <c r="EO63" s="106">
        <f>$BR14+$BC14+$AM14+$W14+$G14+$CG14+$CV14+$DK14+$DZ14+$EO14</f>
        <v>1037</v>
      </c>
      <c r="EP63" s="785">
        <f>$BS14+$BD14+$AN14+$X14+$H14+$CH14+$CW14+$DL14+$EA14+$EP14</f>
        <v>0</v>
      </c>
      <c r="EQ63" s="1016">
        <f>$BT14+$BE14+$AO14+$Y14+$I14+$CI14+$CX14+$DM14+$EB14+$EQ14</f>
        <v>426885.83333333337</v>
      </c>
      <c r="ER63" s="930">
        <f t="shared" si="62"/>
        <v>2.4233341135882361E-3</v>
      </c>
      <c r="ES63" s="930">
        <f t="shared" si="63"/>
        <v>0.99757666588641181</v>
      </c>
      <c r="ET63" s="990">
        <f>$BW14+$BH14+$AS14+$AC14+$M14+$CL14+$DA14+$DP14+$EE14+$ET14</f>
        <v>428518.18666666665</v>
      </c>
      <c r="EU63" s="990"/>
      <c r="EV63" s="1020">
        <f>$BY14+$BJ14+$AU14+$AE14+$O14+$CN14+$DC14+$DR14+$EG14+$EV14</f>
        <v>1632.3533333332962</v>
      </c>
      <c r="EW63" s="1019"/>
      <c r="EX63" s="925"/>
      <c r="EY63" s="932">
        <v>8</v>
      </c>
      <c r="EZ63" s="876" t="s">
        <v>153</v>
      </c>
      <c r="FA63" s="990">
        <f>$BO14+$AZ14+$AJ14+$T14+$D14+$CD14+$CS14+$DH14+$DW14+$EL14+$FA14</f>
        <v>471022.26666666672</v>
      </c>
      <c r="FB63" s="990">
        <f>$BP14+$BA14+$AK14+$U14+$E14+$CE14+$CT14+$DJ14+$DX14+$EM14+$FB14</f>
        <v>217.76666666666668</v>
      </c>
      <c r="FC63" s="41">
        <f>$BQ14+$BB14+$AL14+$V14+$F14+$CF14+$CU14+$DJ14+$DY14+$EN14+$FC14</f>
        <v>0</v>
      </c>
      <c r="FD63" s="106">
        <f>$BR14+$BC14+$AM14+$W14+$G14+$CG14+$CV14+$DK14+$DZ14+$EO14+$FD14</f>
        <v>1037</v>
      </c>
      <c r="FE63" s="785">
        <f>$BS14+$BD14+$AN14+$X14+$H14+$CH14+$CW14+$DL14+$EA14+$EP14+$FE14</f>
        <v>0</v>
      </c>
      <c r="FF63" s="1016">
        <f>$BT14+$BE14+$AO14+$Y14+$I14+$CI14+$CX14+$DM14+$EB14+$EQ14+$FF14</f>
        <v>470203.03333333338</v>
      </c>
      <c r="FG63" s="930">
        <f t="shared" si="67"/>
        <v>2.2005770449185801E-3</v>
      </c>
      <c r="FH63" s="930">
        <f t="shared" si="64"/>
        <v>0.99779942295508139</v>
      </c>
      <c r="FI63" s="990">
        <f>$BW14+$BH14+$AS14+$AC14+$M14+$CL14+$DA14+$DP14+$EE14+$ET14+$FI14</f>
        <v>472790.18666666665</v>
      </c>
      <c r="FJ63" s="990"/>
      <c r="FK63" s="1020">
        <f>$BY14+$BJ14+$AU14+$AE14+$O14+$CN14+$DC14+$DR14+$EG14+$EV14+$FK14</f>
        <v>2587.1533333332991</v>
      </c>
      <c r="FL63" s="1019"/>
      <c r="FM63" s="927"/>
      <c r="FN63" s="932">
        <v>8</v>
      </c>
      <c r="FO63" s="876" t="s">
        <v>153</v>
      </c>
      <c r="FP63" s="990">
        <f>$BO14+$AZ14+$AJ14+$T14+$D14+$CD14+$CS14+$DH14+$DW14+$EL14+$FA14+$FP14</f>
        <v>513162.21666666673</v>
      </c>
      <c r="FQ63" s="990">
        <f>$BP14+$BA14+$AK14+$U14+$E14+$CE14+$CT14+DI14+$DX14+$EM14+$FB14+$FQ14</f>
        <v>217.76666666666668</v>
      </c>
      <c r="FR63" s="41">
        <f>$BQ14+$BB14+$AL14+$V14+$F14+$CF14+$CU14+$DJ14+$DY14+$EN14+$FC14+$FR14</f>
        <v>0</v>
      </c>
      <c r="FS63" s="106">
        <f>$BR14+$BC14+$AM14+$W14+$G14+$CG14+$CV14+$DK14+$DZ14+$EO14+$FD14+$FS14</f>
        <v>1037</v>
      </c>
      <c r="FT63" s="785">
        <f>$BS14+$BD14+$AN14+$X14+$H14+$CH14+$CW14+$DL14+$EA14+$EP14+$FE14+$FT14</f>
        <v>0</v>
      </c>
      <c r="FU63" s="1016">
        <f>$BT14+$BE14+$AO14+$Y14+$I14+$CI14+$CX14+$DM14+$EB14+$EQ14+$FF14+$FU14</f>
        <v>512342.9833333334</v>
      </c>
      <c r="FV63" s="930">
        <f t="shared" si="65"/>
        <v>2.0199463042303392E-3</v>
      </c>
      <c r="FW63" s="930">
        <f t="shared" si="66"/>
        <v>0.9979800536957697</v>
      </c>
      <c r="FX63" s="990">
        <f>$BW14+$BH14+$AS14+$AC14+$M14+$CL14+$DA14+$DP14+$EE14+$ET14+$FI14+$FX14</f>
        <v>514100.40766666667</v>
      </c>
      <c r="FY63" s="990"/>
      <c r="FZ63" s="1020">
        <f>$BY14+$BJ14+$AU14+$AE14+$O14+$CN14+$DC14+$DR14+$EG14+$EV14+$FK14+$FZ14</f>
        <v>1757.4243333332997</v>
      </c>
      <c r="GA63" s="1019"/>
    </row>
    <row r="64" spans="1:183">
      <c r="A64" s="906"/>
      <c r="B64" s="912">
        <v>9</v>
      </c>
      <c r="C64" s="876" t="s">
        <v>154</v>
      </c>
      <c r="D64" s="990">
        <f>SUM($D$15:D15)</f>
        <v>43430.433333333342</v>
      </c>
      <c r="E64" s="990">
        <f>SUM(E15:E15)</f>
        <v>120.86666666666665</v>
      </c>
      <c r="F64" s="57">
        <f t="shared" si="77"/>
        <v>0</v>
      </c>
      <c r="G64" s="106">
        <f t="shared" si="77"/>
        <v>486</v>
      </c>
      <c r="H64" s="785">
        <f t="shared" si="77"/>
        <v>0</v>
      </c>
      <c r="I64" s="1016">
        <f t="shared" si="77"/>
        <v>43065.30000000001</v>
      </c>
      <c r="J64" s="1017">
        <f t="shared" si="77"/>
        <v>41761</v>
      </c>
      <c r="K64" s="930">
        <f>(G64-H64)/(D64+E64+F64)</f>
        <v>1.1159253569927875E-2</v>
      </c>
      <c r="L64" s="930">
        <f>1-((G64-H64)/(D64+E64+F64))</f>
        <v>0.98884074643007214</v>
      </c>
      <c r="M64" s="990">
        <f t="shared" si="78"/>
        <v>43675</v>
      </c>
      <c r="N64" s="990">
        <f t="shared" si="78"/>
        <v>0</v>
      </c>
      <c r="O64" s="1018">
        <f>O15</f>
        <v>609.69999999998981</v>
      </c>
      <c r="P64" s="1019"/>
      <c r="Q64" s="909"/>
      <c r="R64" s="910">
        <v>9</v>
      </c>
      <c r="S64" s="876" t="s">
        <v>154</v>
      </c>
      <c r="T64" s="990">
        <f t="shared" si="79"/>
        <v>87114.766666666677</v>
      </c>
      <c r="U64" s="990">
        <f t="shared" si="79"/>
        <v>212.25000000000003</v>
      </c>
      <c r="V64" s="57">
        <f t="shared" si="79"/>
        <v>0</v>
      </c>
      <c r="W64" s="106">
        <f t="shared" si="79"/>
        <v>934</v>
      </c>
      <c r="X64" s="785">
        <f t="shared" si="79"/>
        <v>0</v>
      </c>
      <c r="Y64" s="1016">
        <f t="shared" si="80"/>
        <v>86393.016666666677</v>
      </c>
      <c r="Z64" s="1017">
        <f t="shared" si="80"/>
        <v>85504</v>
      </c>
      <c r="AA64" s="930">
        <f t="shared" si="41"/>
        <v>1.069543007022836E-2</v>
      </c>
      <c r="AB64" s="930">
        <f t="shared" si="42"/>
        <v>0.98930456992977167</v>
      </c>
      <c r="AC64" s="990">
        <f t="shared" si="81"/>
        <v>87606</v>
      </c>
      <c r="AD64" s="990">
        <f t="shared" si="81"/>
        <v>0</v>
      </c>
      <c r="AE64" s="1018">
        <f>AE15+O15</f>
        <v>1212.9833333333227</v>
      </c>
      <c r="AF64" s="1019"/>
      <c r="AG64" s="911"/>
      <c r="AH64" s="912">
        <v>9</v>
      </c>
      <c r="AI64" s="876" t="s">
        <v>154</v>
      </c>
      <c r="AJ64" s="990">
        <f t="shared" si="82"/>
        <v>128397.91666666669</v>
      </c>
      <c r="AK64" s="990">
        <f t="shared" si="82"/>
        <v>244.7166666666667</v>
      </c>
      <c r="AL64" s="57">
        <f t="shared" si="82"/>
        <v>0</v>
      </c>
      <c r="AM64" s="106">
        <f t="shared" si="82"/>
        <v>1445</v>
      </c>
      <c r="AN64" s="785">
        <f t="shared" si="82"/>
        <v>0</v>
      </c>
      <c r="AO64" s="1016">
        <f t="shared" si="83"/>
        <v>127197.63333333336</v>
      </c>
      <c r="AP64" s="1017">
        <f t="shared" si="83"/>
        <v>85504</v>
      </c>
      <c r="AQ64" s="930">
        <f t="shared" si="46"/>
        <v>1.1232668070901326E-2</v>
      </c>
      <c r="AR64" s="930">
        <f t="shared" si="47"/>
        <v>0.98876733192909871</v>
      </c>
      <c r="AS64" s="990">
        <f t="shared" si="84"/>
        <v>129065</v>
      </c>
      <c r="AT64" s="990">
        <f t="shared" si="84"/>
        <v>0</v>
      </c>
      <c r="AU64" s="1018">
        <f>AU15+AE15+O15</f>
        <v>1867.3666666666541</v>
      </c>
      <c r="AV64" s="1019"/>
      <c r="AW64" s="913"/>
      <c r="AX64" s="912">
        <v>9</v>
      </c>
      <c r="AY64" s="876" t="s">
        <v>154</v>
      </c>
      <c r="AZ64" s="990">
        <f t="shared" si="85"/>
        <v>172526.13333333336</v>
      </c>
      <c r="BA64" s="990">
        <f t="shared" si="85"/>
        <v>266.93333333333339</v>
      </c>
      <c r="BB64" s="57">
        <f t="shared" si="85"/>
        <v>0</v>
      </c>
      <c r="BC64" s="106">
        <f t="shared" si="85"/>
        <v>1871</v>
      </c>
      <c r="BD64" s="785">
        <f t="shared" si="85"/>
        <v>0</v>
      </c>
      <c r="BE64" s="1016">
        <f t="shared" si="85"/>
        <v>170922.06666666671</v>
      </c>
      <c r="BF64" s="930">
        <f t="shared" si="50"/>
        <v>1.0827980752314136E-2</v>
      </c>
      <c r="BG64" s="930">
        <f t="shared" si="51"/>
        <v>0.98917201924768583</v>
      </c>
      <c r="BH64" s="990">
        <f>BH15+AS15+AC15+M15</f>
        <v>173390</v>
      </c>
      <c r="BI64" s="990"/>
      <c r="BJ64" s="1018">
        <f>BJ15+AU15+AE15+O15</f>
        <v>2467.9333333333052</v>
      </c>
      <c r="BK64" s="1019"/>
      <c r="BL64" s="914"/>
      <c r="BM64" s="910">
        <v>9</v>
      </c>
      <c r="BN64" s="876" t="s">
        <v>154</v>
      </c>
      <c r="BO64" s="990">
        <f>$BO15+$AZ15+$AJ15+$T15+$D15</f>
        <v>214059.38333333336</v>
      </c>
      <c r="BP64" s="990">
        <f>$BP15+$BA15+$AK15+$U15+$E15</f>
        <v>266.93333333333339</v>
      </c>
      <c r="BQ64" s="41">
        <f>$BQ15+$BB15+$AL15+$V15+$F15</f>
        <v>0</v>
      </c>
      <c r="BR64" s="106">
        <f>$BR15+$BC15+$AM15+$W15+$G15</f>
        <v>1871</v>
      </c>
      <c r="BS64" s="785">
        <f>$BS15+$BD15+$AN15+$X15+$H15</f>
        <v>0</v>
      </c>
      <c r="BT64" s="1016">
        <f>$BT15+$BE15+$AO15+$Y15+$I15</f>
        <v>212455.31666666671</v>
      </c>
      <c r="BU64" s="930">
        <f t="shared" si="52"/>
        <v>8.729679253107742E-3</v>
      </c>
      <c r="BV64" s="930">
        <f t="shared" si="53"/>
        <v>0.99127032074689225</v>
      </c>
      <c r="BW64" s="990">
        <f>$BW15+$BH15+$AS15+$AC15+$M15</f>
        <v>215105</v>
      </c>
      <c r="BX64" s="990"/>
      <c r="BY64" s="1018">
        <f>$BY15+$BJ15+$AU15+$AE15+$O15</f>
        <v>2649.6833333333052</v>
      </c>
      <c r="BZ64" s="1019"/>
      <c r="CA64" s="915"/>
      <c r="CB64" s="912">
        <v>9</v>
      </c>
      <c r="CC64" s="876" t="s">
        <v>154</v>
      </c>
      <c r="CD64" s="990">
        <f>$BO15+$AZ15+$AJ15+$T15+$D15+$CD15</f>
        <v>256888.18333333335</v>
      </c>
      <c r="CE64" s="990">
        <f>$BP15+$BA15+$AK15+$U15+$E15+$CE15</f>
        <v>266.93333333333339</v>
      </c>
      <c r="CF64" s="41">
        <f>$BQ15+$BB15+$AL15+$V15+$F15+$CF15</f>
        <v>0</v>
      </c>
      <c r="CG64" s="106">
        <f>$BR15+$BC15+$AM15+$W15+$G15+$CG15</f>
        <v>1871</v>
      </c>
      <c r="CH64" s="785">
        <f>$BS15+$BD15+$AN15+$X15+$H15+$CH15</f>
        <v>0</v>
      </c>
      <c r="CI64" s="1016">
        <f>$BT15+$BE15+$AO15+$Y15+$I15+$CI15</f>
        <v>255284.1166666667</v>
      </c>
      <c r="CJ64" s="930">
        <f t="shared" si="54"/>
        <v>7.2757642323145171E-3</v>
      </c>
      <c r="CK64" s="930">
        <f t="shared" si="55"/>
        <v>0.99272423576768554</v>
      </c>
      <c r="CL64" s="990">
        <f>$BW15+$BH15+$AS15+$AC15+$M15+$CL15</f>
        <v>258129</v>
      </c>
      <c r="CM64" s="990"/>
      <c r="CN64" s="1018">
        <f>$BY15+$BJ15+$AU15+$AE15+$O15+$CN15</f>
        <v>2844.8833333333023</v>
      </c>
      <c r="CO64" s="1019"/>
      <c r="CP64" s="919"/>
      <c r="CQ64" s="912">
        <v>9</v>
      </c>
      <c r="CR64" s="876" t="s">
        <v>154</v>
      </c>
      <c r="CS64" s="990">
        <f>$BO15+$AZ15+$AJ15+$T15+$D15+$CD15+$CS15</f>
        <v>300356.31666666671</v>
      </c>
      <c r="CT64" s="990">
        <f>$BP15+$BA15+$AK15+$U15+$E15+$CE15+$CT15</f>
        <v>266.93333333333339</v>
      </c>
      <c r="CU64" s="41">
        <f>$BQ15+$BB15+$AL15+$V15+$F15+$CF15+$CU15</f>
        <v>0</v>
      </c>
      <c r="CV64" s="106">
        <f>$BR15+$BC15+$AM15+$W15+$G15+$CG15+$CV15</f>
        <v>1871</v>
      </c>
      <c r="CW64" s="785">
        <f>$BS15+$BD15+$AN15+$X15+$H15+$CH15+$CW15</f>
        <v>0</v>
      </c>
      <c r="CX64" s="1016">
        <f>$BT15+$BE15+$AO15+$Y15+$I15+$CI15+$CX15</f>
        <v>298752.25000000006</v>
      </c>
      <c r="CY64" s="930">
        <f t="shared" si="56"/>
        <v>6.223736853353823E-3</v>
      </c>
      <c r="CZ64" s="930">
        <f t="shared" si="57"/>
        <v>0.99377626314664613</v>
      </c>
      <c r="DA64" s="990">
        <f>$BW15+$BH15+$AS15+$AC15+$M15+$CL15+$DA15</f>
        <v>301804</v>
      </c>
      <c r="DB64" s="990"/>
      <c r="DC64" s="1018">
        <f>$BY15+$BJ15+$AU15+$AE15+$O15+$CN15+$DC15</f>
        <v>3051.7499999999636</v>
      </c>
      <c r="DD64" s="1019"/>
      <c r="DE64" s="920"/>
      <c r="DF64" s="910">
        <v>9</v>
      </c>
      <c r="DG64" s="876" t="s">
        <v>154</v>
      </c>
      <c r="DH64" s="990">
        <f>$BO15+$AZ15+$AJ15+$T15+$D15+$CD15+$CS15+$DH15</f>
        <v>339809.58333333337</v>
      </c>
      <c r="DI64" s="990">
        <f>$BP15+$BA15+$AK15+$U15+$E15+$CE15+$CT15+$DJ15</f>
        <v>266.93333333333339</v>
      </c>
      <c r="DJ64" s="41">
        <f>$BQ15+$BB15+$AL15+$V15+$F15+$CF15+$CU15+$DJ15</f>
        <v>0</v>
      </c>
      <c r="DK64" s="106">
        <f>$BR15+$BC15+$AM15+$W15+$G15+$CG15+$CV15+$DK15</f>
        <v>1871</v>
      </c>
      <c r="DL64" s="785">
        <f>$BS15+$BD15+$AN15+$X15+$H15+$CH15+$CW15+DL15</f>
        <v>0</v>
      </c>
      <c r="DM64" s="1016">
        <f>$BT15+$BE15+$AO15+$Y15+$I15+$CI15+$CX15+DM15</f>
        <v>338205.51666666672</v>
      </c>
      <c r="DN64" s="930">
        <f t="shared" si="58"/>
        <v>5.5017030235989528E-3</v>
      </c>
      <c r="DO64" s="930">
        <f t="shared" si="59"/>
        <v>0.99449829697640102</v>
      </c>
      <c r="DP64" s="990">
        <f>$BW15+$BH15+$AS15+$AC15+$M15+$CL15+$DA15+$DP15</f>
        <v>342349</v>
      </c>
      <c r="DQ64" s="990"/>
      <c r="DR64" s="1020">
        <f>$BY15+$BJ15+$AU15+$AE15+$O15+$CN15+$DC15+$DR15</f>
        <v>4143.4833333332936</v>
      </c>
      <c r="DS64" s="1019"/>
      <c r="DT64" s="921"/>
      <c r="DU64" s="910">
        <v>9</v>
      </c>
      <c r="DV64" s="876" t="s">
        <v>154</v>
      </c>
      <c r="DW64" s="990">
        <f>$BO15+$AZ15+$AJ15+$T15+$D15+$CD15+$CS15+$DH15+$DW15</f>
        <v>382894.91666666674</v>
      </c>
      <c r="DX64" s="990">
        <f>$BP15+$BA15+$AK15+$U15+$E15+$CE15+$CT15+$DJ15+$DX15</f>
        <v>266.93333333333339</v>
      </c>
      <c r="DY64" s="41">
        <f>$BQ15+$BB15+$AL15+$V15+$F15+$CF15+$CU15+$DJ15+$DY15</f>
        <v>0</v>
      </c>
      <c r="DZ64" s="106">
        <f>$BR15+$BC15+$AM15+$W15+$G15+$CG15+$CV15+$DK15+$DZ15</f>
        <v>1871</v>
      </c>
      <c r="EA64" s="785">
        <f>$BS15+$BD15+$AN15+$X15+$H15+$CH15+$CW15+$DL15+$EA15</f>
        <v>0</v>
      </c>
      <c r="EB64" s="1016">
        <f>$BT15+$BE15+$AO15+$Y15+$I15+$CI15+$CX15+$DM15+$EB15</f>
        <v>381290.85000000009</v>
      </c>
      <c r="EC64" s="930">
        <f t="shared" si="60"/>
        <v>4.8830539888039468E-3</v>
      </c>
      <c r="ED64" s="930">
        <f t="shared" si="61"/>
        <v>0.99511694601119605</v>
      </c>
      <c r="EE64" s="990">
        <f>$BW15+$BH15+$AS15+$AC15+$M15+$CL15+$DA15+$DP15+$EE15</f>
        <v>384715</v>
      </c>
      <c r="EF64" s="990"/>
      <c r="EG64" s="1020">
        <f>$BY15+$BJ15+$AU15+$AE15+$O15+$CN15+$DC15+$DR15+$EG15</f>
        <v>3424.1499999999432</v>
      </c>
      <c r="EH64" s="1019"/>
      <c r="EI64" s="941"/>
      <c r="EJ64" s="912">
        <v>9</v>
      </c>
      <c r="EK64" s="876" t="s">
        <v>154</v>
      </c>
      <c r="EL64" s="990">
        <f>$BO15+$AZ15+$AJ15+$T15+$D15+$CD15+$CS15+$DH15+$DW15+$EL15</f>
        <v>425453.81666666677</v>
      </c>
      <c r="EM64" s="990">
        <f>$BP15+$BA15+$AK15+$U15+$E15+$CE15+$CT15+$DJ15+$DX15+$EM15</f>
        <v>266.93333333333339</v>
      </c>
      <c r="EN64" s="41">
        <f>$BQ15+$BB15+$AL15+$V15+$F15+$CF15+$CU15+$DJ15+$DY15+$EN15</f>
        <v>0</v>
      </c>
      <c r="EO64" s="106">
        <f>$BR15+$BC15+$AM15+$W15+$G15+$CG15+$CV15+$DK15+$DZ15+$EO15</f>
        <v>1871</v>
      </c>
      <c r="EP64" s="785">
        <f>$BS15+$BD15+$AN15+$X15+$H15+$CH15+$CW15+$DL15+$EA15+$EP15</f>
        <v>0</v>
      </c>
      <c r="EQ64" s="1016">
        <f>$BT15+$BE15+$AO15+$Y15+$I15+$CI15+$CX15+$DM15+$EB15+$EQ15</f>
        <v>423849.75000000012</v>
      </c>
      <c r="ER64" s="930">
        <f t="shared" si="62"/>
        <v>4.3948997083181861E-3</v>
      </c>
      <c r="ES64" s="930">
        <f t="shared" si="63"/>
        <v>0.99560510029168181</v>
      </c>
      <c r="ET64" s="990">
        <f>$BW15+$BH15+$AS15+$AC15+$M15+$CL15+$DA15+$DP15+$EE15+$ET15</f>
        <v>427476</v>
      </c>
      <c r="EU64" s="990"/>
      <c r="EV64" s="1020">
        <f>$BY15+$BJ15+$AU15+$AE15+$O15+$CN15+$DC15+$DR15+$EG15+$EV15</f>
        <v>3626.2499999999418</v>
      </c>
      <c r="EW64" s="1019"/>
      <c r="EX64" s="925"/>
      <c r="EY64" s="910">
        <v>9</v>
      </c>
      <c r="EZ64" s="876" t="s">
        <v>154</v>
      </c>
      <c r="FA64" s="990">
        <f>$BO15+$AZ15+$AJ15+$T15+$D15+$CD15+$CS15+$DH15+$DW15+$EL15+$FA15</f>
        <v>468551.11666666676</v>
      </c>
      <c r="FB64" s="990">
        <f>$BP15+$BA15+$AK15+$U15+$E15+$CE15+$CT15+$DJ15+$DX15+$EM15+$FB15</f>
        <v>266.93333333333339</v>
      </c>
      <c r="FC64" s="41">
        <f>$BQ15+$BB15+$AL15+$V15+$F15+$CF15+$CU15+$DJ15+$DY15+$EN15+$FC15</f>
        <v>0</v>
      </c>
      <c r="FD64" s="106">
        <f>$BR15+$BC15+$AM15+$W15+$G15+$CG15+$CV15+$DK15+$DZ15+$EO15+$FD15</f>
        <v>1871</v>
      </c>
      <c r="FE64" s="785">
        <f>$BS15+$BD15+$AN15+$X15+$H15+$CH15+$CW15+$DL15+$EA15+$EP15+$FE15</f>
        <v>0</v>
      </c>
      <c r="FF64" s="1016">
        <f>$BT15+$BE15+$AO15+$Y15+$I15+$CI15+$CX15+$DM15+$EB15+$EQ15+$FF15</f>
        <v>466947.0500000001</v>
      </c>
      <c r="FG64" s="930">
        <f t="shared" si="67"/>
        <v>3.9908872962549106E-3</v>
      </c>
      <c r="FH64" s="930">
        <f t="shared" si="64"/>
        <v>0.99600911270374504</v>
      </c>
      <c r="FI64" s="990">
        <f>$BW15+$BH15+$AS15+$AC15+$M15+$CL15+$DA15+$DP15+$EE15+$ET15+$FI15</f>
        <v>471670</v>
      </c>
      <c r="FJ64" s="990"/>
      <c r="FK64" s="1020">
        <f>$BY15+$BJ15+$AU15+$AE15+$O15+$CN15+$DC15+$DR15+$EG15+$EV15+$FK15</f>
        <v>4722.9499999999389</v>
      </c>
      <c r="FL64" s="1019"/>
      <c r="FM64" s="927"/>
      <c r="FN64" s="910">
        <v>9</v>
      </c>
      <c r="FO64" s="876" t="s">
        <v>154</v>
      </c>
      <c r="FP64" s="990">
        <f>$BO15+$AZ15+$AJ15+$T15+$D15+$CD15+$CS15+$DH15+$DW15+$EL15+$FA15+$FP15</f>
        <v>510468.0500000001</v>
      </c>
      <c r="FQ64" s="990">
        <f>$BP15+$BA15+$AK15+$U15+$E15+$CE15+$CT15+DI15+$DX15+$EM15+$FB15+$FQ15</f>
        <v>266.93333333333339</v>
      </c>
      <c r="FR64" s="41">
        <f>$BQ15+$BB15+$AL15+$V15+$F15+$CF15+$CU15+$DJ15+$DY15+$EN15+$FC15+$FR15</f>
        <v>0</v>
      </c>
      <c r="FS64" s="106">
        <f>$BR15+$BC15+$AM15+$W15+$G15+$CG15+$CV15+$DK15+$DZ15+$EO15+$FD15+$FS15</f>
        <v>1871</v>
      </c>
      <c r="FT64" s="785">
        <f>$BS15+$BD15+$AN15+$X15+$H15+$CH15+$CW15+$DL15+$EA15+$EP15+$FE15+$FT15</f>
        <v>0</v>
      </c>
      <c r="FU64" s="1016">
        <f>$BT15+$BE15+$AO15+$Y15+$I15+$CI15+$CX15+$DM15+$EB15+$EQ15+$FF15+$FU15</f>
        <v>508863.98333333345</v>
      </c>
      <c r="FV64" s="930">
        <f t="shared" si="65"/>
        <v>3.6633480396992572E-3</v>
      </c>
      <c r="FW64" s="930">
        <f t="shared" si="66"/>
        <v>0.99633665196030075</v>
      </c>
      <c r="FX64" s="990">
        <f>$BW15+$BH15+$AS15+$AC15+$M15+$CL15+$DA15+$DP15+$EE15+$ET15+$FI15+$FX15</f>
        <v>512865.75</v>
      </c>
      <c r="FY64" s="990"/>
      <c r="FZ64" s="1020">
        <f>$BY15+$BJ15+$AU15+$AE15+$O15+$CN15+$DC15+$DR15+$EG15+$EV15+$FK15+$FZ15</f>
        <v>4001.7666666665973</v>
      </c>
      <c r="GA64" s="1019"/>
    </row>
    <row r="65" spans="1:183">
      <c r="A65" s="906"/>
      <c r="B65" s="912"/>
      <c r="C65" s="876"/>
      <c r="D65" s="990"/>
      <c r="E65" s="990"/>
      <c r="F65" s="57"/>
      <c r="G65" s="106"/>
      <c r="H65" s="785"/>
      <c r="I65" s="1016"/>
      <c r="J65" s="1017"/>
      <c r="K65" s="930"/>
      <c r="L65" s="930"/>
      <c r="M65" s="990"/>
      <c r="N65" s="990"/>
      <c r="O65" s="1018"/>
      <c r="P65" s="1019"/>
      <c r="Q65" s="909"/>
      <c r="R65" s="910"/>
      <c r="S65" s="876"/>
      <c r="T65" s="990"/>
      <c r="U65" s="990"/>
      <c r="V65" s="57"/>
      <c r="W65" s="106"/>
      <c r="X65" s="785"/>
      <c r="Y65" s="1016"/>
      <c r="Z65" s="1017"/>
      <c r="AA65" s="930"/>
      <c r="AB65" s="930"/>
      <c r="AC65" s="990"/>
      <c r="AD65" s="990"/>
      <c r="AE65" s="1018"/>
      <c r="AF65" s="1019"/>
      <c r="AG65" s="911"/>
      <c r="AH65" s="912"/>
      <c r="AI65" s="876"/>
      <c r="AJ65" s="990"/>
      <c r="AK65" s="990"/>
      <c r="AL65" s="57"/>
      <c r="AM65" s="106"/>
      <c r="AN65" s="785"/>
      <c r="AO65" s="1016"/>
      <c r="AP65" s="1017"/>
      <c r="AQ65" s="930"/>
      <c r="AR65" s="930"/>
      <c r="AS65" s="990"/>
      <c r="AT65" s="990"/>
      <c r="AU65" s="1018"/>
      <c r="AV65" s="1019"/>
      <c r="AW65" s="913"/>
      <c r="AX65" s="912"/>
      <c r="AY65" s="876"/>
      <c r="AZ65" s="990"/>
      <c r="BA65" s="990"/>
      <c r="BB65" s="57"/>
      <c r="BC65" s="106"/>
      <c r="BD65" s="785"/>
      <c r="BE65" s="1016"/>
      <c r="BF65" s="930"/>
      <c r="BG65" s="930"/>
      <c r="BH65" s="990"/>
      <c r="BI65" s="990"/>
      <c r="BJ65" s="1018"/>
      <c r="BK65" s="1019"/>
      <c r="BL65" s="914"/>
      <c r="BM65" s="910"/>
      <c r="BN65" s="876"/>
      <c r="BO65" s="990"/>
      <c r="BP65" s="990"/>
      <c r="BQ65" s="41"/>
      <c r="BR65" s="106"/>
      <c r="BS65" s="785"/>
      <c r="BT65" s="1016"/>
      <c r="BU65" s="930"/>
      <c r="BV65" s="930"/>
      <c r="BW65" s="990"/>
      <c r="BX65" s="990"/>
      <c r="BY65" s="1018"/>
      <c r="BZ65" s="1019"/>
      <c r="CA65" s="915"/>
      <c r="CB65" s="912"/>
      <c r="CC65" s="876"/>
      <c r="CD65" s="990"/>
      <c r="CE65" s="990"/>
      <c r="CF65" s="41"/>
      <c r="CG65" s="106"/>
      <c r="CH65" s="785"/>
      <c r="CI65" s="1016"/>
      <c r="CJ65" s="930"/>
      <c r="CK65" s="930"/>
      <c r="CL65" s="990"/>
      <c r="CM65" s="990"/>
      <c r="CN65" s="1018"/>
      <c r="CO65" s="1019"/>
      <c r="CP65" s="919"/>
      <c r="CQ65" s="912"/>
      <c r="CR65" s="876"/>
      <c r="CS65" s="990"/>
      <c r="CT65" s="990"/>
      <c r="CU65" s="41"/>
      <c r="CV65" s="106"/>
      <c r="CW65" s="785"/>
      <c r="CX65" s="1016"/>
      <c r="CY65" s="930"/>
      <c r="CZ65" s="930"/>
      <c r="DA65" s="990"/>
      <c r="DB65" s="990"/>
      <c r="DC65" s="1018"/>
      <c r="DD65" s="1019"/>
      <c r="DE65" s="920"/>
      <c r="DF65" s="910"/>
      <c r="DG65" s="876"/>
      <c r="DH65" s="990"/>
      <c r="DI65" s="990"/>
      <c r="DJ65" s="41"/>
      <c r="DK65" s="106"/>
      <c r="DL65" s="785"/>
      <c r="DM65" s="1016"/>
      <c r="DN65" s="930"/>
      <c r="DO65" s="930"/>
      <c r="DP65" s="990"/>
      <c r="DQ65" s="990"/>
      <c r="DR65" s="1020"/>
      <c r="DS65" s="1019"/>
      <c r="DT65" s="921"/>
      <c r="DU65" s="910"/>
      <c r="DV65" s="876"/>
      <c r="DW65" s="990"/>
      <c r="DX65" s="990"/>
      <c r="DY65" s="41"/>
      <c r="DZ65" s="106"/>
      <c r="EA65" s="785"/>
      <c r="EB65" s="1016"/>
      <c r="EC65" s="930"/>
      <c r="ED65" s="930"/>
      <c r="EE65" s="990"/>
      <c r="EF65" s="990"/>
      <c r="EG65" s="1020"/>
      <c r="EH65" s="1019"/>
      <c r="EI65" s="941"/>
      <c r="EJ65" s="912"/>
      <c r="EK65" s="876"/>
      <c r="EL65" s="990"/>
      <c r="EM65" s="990"/>
      <c r="EN65" s="41"/>
      <c r="EO65" s="106"/>
      <c r="EP65" s="785"/>
      <c r="EQ65" s="1016"/>
      <c r="ER65" s="930"/>
      <c r="ES65" s="930"/>
      <c r="ET65" s="990"/>
      <c r="EU65" s="990"/>
      <c r="EV65" s="1020"/>
      <c r="EW65" s="1019"/>
      <c r="EX65" s="925"/>
      <c r="EY65" s="910"/>
      <c r="EZ65" s="876"/>
      <c r="FA65" s="990"/>
      <c r="FB65" s="990"/>
      <c r="FC65" s="41"/>
      <c r="FD65" s="106"/>
      <c r="FE65" s="785"/>
      <c r="FF65" s="1016"/>
      <c r="FG65" s="930"/>
      <c r="FH65" s="930"/>
      <c r="FI65" s="990"/>
      <c r="FJ65" s="990"/>
      <c r="FK65" s="1020"/>
      <c r="FL65" s="1019"/>
      <c r="FM65" s="927"/>
      <c r="FN65" s="910"/>
      <c r="FO65" s="876"/>
      <c r="FP65" s="990"/>
      <c r="FQ65" s="990"/>
      <c r="FR65" s="41"/>
      <c r="FS65" s="106"/>
      <c r="FT65" s="785"/>
      <c r="FU65" s="1016"/>
      <c r="FV65" s="930"/>
      <c r="FW65" s="930"/>
      <c r="FX65" s="990"/>
      <c r="FY65" s="990"/>
      <c r="FZ65" s="1020"/>
      <c r="GA65" s="1019"/>
    </row>
    <row r="66" spans="1:183">
      <c r="A66" s="906"/>
      <c r="B66" s="912">
        <v>10</v>
      </c>
      <c r="C66" s="1" t="s">
        <v>155</v>
      </c>
      <c r="D66" s="22">
        <f>SUM($D$17:D17)</f>
        <v>138776.16666666666</v>
      </c>
      <c r="E66" s="22">
        <f>SUM(E17:E17)</f>
        <v>296.48333333333329</v>
      </c>
      <c r="F66" s="58">
        <f t="shared" ref="F66:J68" si="86">F17</f>
        <v>295.89999999999998</v>
      </c>
      <c r="G66" s="38">
        <f t="shared" si="86"/>
        <v>1261</v>
      </c>
      <c r="H66" s="25">
        <f t="shared" si="86"/>
        <v>0</v>
      </c>
      <c r="I66" s="21">
        <f t="shared" si="86"/>
        <v>138107.54999999999</v>
      </c>
      <c r="J66" s="69">
        <f t="shared" si="86"/>
        <v>129833</v>
      </c>
      <c r="K66" s="33">
        <f>(G66-H66)/(D66+E66+F66)</f>
        <v>9.0479523536694615E-3</v>
      </c>
      <c r="L66" s="33">
        <f>1-((G66-H66)/(D66+E66+F66))</f>
        <v>0.99095204764633049</v>
      </c>
      <c r="M66" s="22">
        <f t="shared" ref="M66:N68" si="87">M17</f>
        <v>139827</v>
      </c>
      <c r="N66" s="22">
        <f t="shared" si="87"/>
        <v>848</v>
      </c>
      <c r="O66" s="34">
        <f>SUM(O67:O68)</f>
        <v>1719.4500000000044</v>
      </c>
      <c r="P66" s="35">
        <f>M17+N17-I17</f>
        <v>2567.4500000000116</v>
      </c>
      <c r="Q66" s="909"/>
      <c r="R66" s="910">
        <v>10</v>
      </c>
      <c r="S66" s="1" t="s">
        <v>155</v>
      </c>
      <c r="T66" s="22">
        <f t="shared" ref="T66:X68" si="88">T17+D17</f>
        <v>278249.71666666667</v>
      </c>
      <c r="U66" s="22">
        <f t="shared" si="88"/>
        <v>481.69999999999993</v>
      </c>
      <c r="V66" s="58">
        <f t="shared" si="88"/>
        <v>836.8</v>
      </c>
      <c r="W66" s="38">
        <f t="shared" si="88"/>
        <v>2727</v>
      </c>
      <c r="X66" s="25">
        <f t="shared" si="88"/>
        <v>0</v>
      </c>
      <c r="Y66" s="21">
        <f t="shared" ref="Y66:Z68" si="89">Y17+I17</f>
        <v>276841.21666666667</v>
      </c>
      <c r="Z66" s="69">
        <f t="shared" si="89"/>
        <v>269707</v>
      </c>
      <c r="AA66" s="33">
        <f t="shared" si="41"/>
        <v>9.7543277004604658E-3</v>
      </c>
      <c r="AB66" s="33">
        <f t="shared" si="42"/>
        <v>0.99024567229953953</v>
      </c>
      <c r="AC66" s="22">
        <f t="shared" ref="AC66:AD68" si="90">AC17+M17</f>
        <v>280354</v>
      </c>
      <c r="AD66" s="22">
        <f t="shared" si="90"/>
        <v>1696</v>
      </c>
      <c r="AE66" s="34">
        <f>SUM(AE67:AE68)</f>
        <v>3512.7833333333401</v>
      </c>
      <c r="AF66" s="35">
        <f>AC17+AD17-Y17+M17+N17-I17</f>
        <v>5208.7833333333547</v>
      </c>
      <c r="AG66" s="911"/>
      <c r="AH66" s="912">
        <v>10</v>
      </c>
      <c r="AI66" s="1" t="s">
        <v>155</v>
      </c>
      <c r="AJ66" s="22">
        <f t="shared" ref="AJ66:AN68" si="91">AJ17+T17+D17</f>
        <v>409911.23333333328</v>
      </c>
      <c r="AK66" s="22">
        <f t="shared" si="91"/>
        <v>509.0499999999999</v>
      </c>
      <c r="AL66" s="58">
        <f t="shared" si="91"/>
        <v>1088.75</v>
      </c>
      <c r="AM66" s="38">
        <f t="shared" si="91"/>
        <v>4006</v>
      </c>
      <c r="AN66" s="25">
        <f t="shared" si="91"/>
        <v>0</v>
      </c>
      <c r="AO66" s="21">
        <f t="shared" ref="AO66:AP68" si="92">AO17+Y17+I17</f>
        <v>407503.03333333333</v>
      </c>
      <c r="AP66" s="69">
        <f t="shared" si="92"/>
        <v>269707</v>
      </c>
      <c r="AQ66" s="33">
        <f t="shared" si="46"/>
        <v>9.7349017287672347E-3</v>
      </c>
      <c r="AR66" s="33">
        <f t="shared" si="47"/>
        <v>0.99026509827123277</v>
      </c>
      <c r="AS66" s="22">
        <f t="shared" ref="AS66:AT68" si="93">AS17+AC17+M17</f>
        <v>412664</v>
      </c>
      <c r="AT66" s="22">
        <f t="shared" si="93"/>
        <v>2544</v>
      </c>
      <c r="AU66" s="34">
        <f>SUM(AU67:AU68)</f>
        <v>5160.9666666666672</v>
      </c>
      <c r="AV66" s="35">
        <f>AS17+AT17-AO17+AC17+AD17-Y17+M17+N17-I17</f>
        <v>7704.9666666666744</v>
      </c>
      <c r="AW66" s="913"/>
      <c r="AX66" s="912">
        <v>10</v>
      </c>
      <c r="AY66" s="1" t="s">
        <v>155</v>
      </c>
      <c r="AZ66" s="22">
        <f t="shared" ref="AZ66:BE68" si="94">AZ17+AJ17+T17+D17</f>
        <v>551493.44999999995</v>
      </c>
      <c r="BA66" s="22">
        <f t="shared" si="94"/>
        <v>555.21666666666658</v>
      </c>
      <c r="BB66" s="58">
        <f t="shared" si="94"/>
        <v>1101.9499999999998</v>
      </c>
      <c r="BC66" s="38">
        <f t="shared" si="94"/>
        <v>5420</v>
      </c>
      <c r="BD66" s="25">
        <f t="shared" si="94"/>
        <v>0</v>
      </c>
      <c r="BE66" s="21">
        <f t="shared" si="94"/>
        <v>547730.6166666667</v>
      </c>
      <c r="BF66" s="33">
        <f t="shared" si="50"/>
        <v>9.7984162661905513E-3</v>
      </c>
      <c r="BG66" s="33">
        <f t="shared" si="51"/>
        <v>0.9902015837338094</v>
      </c>
      <c r="BH66" s="22">
        <f>BH17+AS17+AC17+M17</f>
        <v>554622</v>
      </c>
      <c r="BI66" s="22">
        <f>BI17+AT17+AD17+N17</f>
        <v>3392</v>
      </c>
      <c r="BJ66" s="34">
        <f>SUM(BJ67:BJ68)</f>
        <v>6891.3833333333459</v>
      </c>
      <c r="BK66" s="35">
        <f>M17+N17-I17+BH17+BI17-BE17+AS17+AT17-AO17+AC17+AD17-Y17</f>
        <v>10283.38333333336</v>
      </c>
      <c r="BL66" s="914"/>
      <c r="BM66" s="910">
        <v>10</v>
      </c>
      <c r="BN66" s="1" t="s">
        <v>155</v>
      </c>
      <c r="BO66" s="22">
        <f>$BO17+$AZ17+$AJ17+$T17+$D17</f>
        <v>683834.39999999991</v>
      </c>
      <c r="BP66" s="22">
        <f>$BP17+$BA17+$AK17+$U17+$E17</f>
        <v>555.21666666666658</v>
      </c>
      <c r="BQ66" s="42">
        <f>$BQ17+$BB17+$AL17+$V17+$F17</f>
        <v>1101.9499999999998</v>
      </c>
      <c r="BR66" s="38">
        <f>$BR17+$BC17+$AM17+$W17+$G17</f>
        <v>5420</v>
      </c>
      <c r="BS66" s="25">
        <f>$BS17+$BD17+$AN17+$X17+$H17</f>
        <v>0</v>
      </c>
      <c r="BT66" s="21">
        <f>$BT17+$BE17+$AO17+$Y17+$I17</f>
        <v>680071.56666666665</v>
      </c>
      <c r="BU66" s="33">
        <f t="shared" si="52"/>
        <v>7.9067347631361588E-3</v>
      </c>
      <c r="BV66" s="33">
        <f t="shared" si="53"/>
        <v>0.99209326523686381</v>
      </c>
      <c r="BW66" s="22">
        <f>$BW17+$BH17+$AS17+$AC17+$M17</f>
        <v>687356.33333333337</v>
      </c>
      <c r="BX66" s="22">
        <f>$BX17+$BI17+$AT17+$AD17+$N17</f>
        <v>4240</v>
      </c>
      <c r="BY66" s="34">
        <f>SUM(BY67:BY68)</f>
        <v>7284.7666666666773</v>
      </c>
      <c r="BZ66" s="35">
        <f>$AC17+$AD17-$Y17+$BW17+$BX17-$BT17+$BH17+$BI17-$BE17+$AS17+$AT17-$AO17+$M17+$N17-$I17</f>
        <v>11524.766666666692</v>
      </c>
      <c r="CA66" s="915"/>
      <c r="CB66" s="912">
        <v>10</v>
      </c>
      <c r="CC66" s="1" t="s">
        <v>155</v>
      </c>
      <c r="CD66" s="22">
        <f>$BO17+$AZ17+$AJ17+$T17+$D17+$CD17</f>
        <v>820516.36666666658</v>
      </c>
      <c r="CE66" s="22">
        <f>$BP17+$BA17+$AK17+$U17+$E17+$CE17</f>
        <v>555.21666666666658</v>
      </c>
      <c r="CF66" s="42">
        <f>$BQ17+$BB17+$AL17+$V17+$F17+$CF17</f>
        <v>1101.9499999999998</v>
      </c>
      <c r="CG66" s="38">
        <f>$BR17+$BC17+$AM17+$W17+$G17+$CG17</f>
        <v>5420</v>
      </c>
      <c r="CH66" s="25">
        <f>$BS17+$BD17+$AN17+$X17+$H17+$CH17</f>
        <v>0</v>
      </c>
      <c r="CI66" s="21">
        <f>$BT17+$BE17+$AO17+$Y17+$I17+$CI17</f>
        <v>816753.53333333333</v>
      </c>
      <c r="CJ66" s="33">
        <f t="shared" si="54"/>
        <v>6.592282261903672E-3</v>
      </c>
      <c r="CK66" s="33">
        <f t="shared" si="55"/>
        <v>0.99340771773809633</v>
      </c>
      <c r="CL66" s="22">
        <f>$BW17+$BH17+$AS17+$AC17+$M17+$CL17</f>
        <v>824499.6333333333</v>
      </c>
      <c r="CM66" s="22">
        <f>$BX17+$BI17+$AT17+$AD17+$N17+$CM17</f>
        <v>5088</v>
      </c>
      <c r="CN66" s="34">
        <f>SUM(CN67:CN68)</f>
        <v>7746.1000000000204</v>
      </c>
      <c r="CO66" s="35">
        <f>$AC17+$AD17-$Y17+$BW17+$BX17-$BT17+$BH17+$BI17-$BE17+$AS17+$AT17-$AO17+$M17+$N17-$I17+$CL17+$CM17-$CI17</f>
        <v>12834.100000000006</v>
      </c>
      <c r="CP66" s="919"/>
      <c r="CQ66" s="912">
        <v>10</v>
      </c>
      <c r="CR66" s="1" t="s">
        <v>155</v>
      </c>
      <c r="CS66" s="22">
        <f>$BO17+$AZ17+$AJ17+$T17+$D17+$CD17+$CS17</f>
        <v>959573.68333333323</v>
      </c>
      <c r="CT66" s="22">
        <f>$BP17+$BA17+$AK17+$U17+$E17+$CE17+$CT17</f>
        <v>555.21666666666658</v>
      </c>
      <c r="CU66" s="42">
        <f>$BQ17+$BB17+$AL17+$V17+$F17+$CF17+$CU17</f>
        <v>1101.9499999999998</v>
      </c>
      <c r="CV66" s="38">
        <f>$BR17+$BC17+$AM17+$W17+$G17+$CG17+$CV17</f>
        <v>5420</v>
      </c>
      <c r="CW66" s="25">
        <f>$BS17+$BD17+$AN17+$X17+$H17+$CH17+$CW17</f>
        <v>0</v>
      </c>
      <c r="CX66" s="21">
        <f>$BT17+$BE17+$AO17+$Y17+$I17+$CI17+$CX17</f>
        <v>955810.85</v>
      </c>
      <c r="CY66" s="33">
        <f t="shared" si="56"/>
        <v>5.6386038795987461E-3</v>
      </c>
      <c r="CZ66" s="33">
        <f t="shared" si="57"/>
        <v>0.99436139612040131</v>
      </c>
      <c r="DA66" s="22">
        <f>$BW17+$BH17+$AS17+$AC17+$M17+$CL17+$DA17</f>
        <v>964049.89999999991</v>
      </c>
      <c r="DB66" s="22">
        <f>$BX17+$BI17+$AT17+$AD17+$N17+$CM17+$DB17</f>
        <v>5936</v>
      </c>
      <c r="DC66" s="34">
        <f>SUM(DC67:DC68)</f>
        <v>8239.0500000000175</v>
      </c>
      <c r="DD66" s="35">
        <f>$AC17+$AD17-$Y17+$BW17+$BX17-$BT17+$BH17+$BI17-$BE17+$AS17+$AT17-$AO17+$M17+$N17-$I17+$CL17+$CM17-$CI17+$DA17+$DB17-$CX17</f>
        <v>14175.049999999988</v>
      </c>
      <c r="DE66" s="920"/>
      <c r="DF66" s="910">
        <v>10</v>
      </c>
      <c r="DG66" s="1" t="s">
        <v>155</v>
      </c>
      <c r="DH66" s="22">
        <f>$BO17+$AZ17+$AJ17+$T17+$D17+$CD17+$CS17+$DH17</f>
        <v>1085834.75</v>
      </c>
      <c r="DI66" s="22">
        <f>$BP17+$BA17+$AK17+$U17+$E17+$CE17+$CT17+$DJ17</f>
        <v>555.21666666666658</v>
      </c>
      <c r="DJ66" s="42">
        <f>$BQ17+$BB17+$AL17+$V17+$F17+$CF17+$CU17+$DJ17</f>
        <v>1101.9499999999998</v>
      </c>
      <c r="DK66" s="38">
        <f>$BR17+$BC17+$AM17+$W17+$G17+$CG17+$CV17+$DK17</f>
        <v>5420</v>
      </c>
      <c r="DL66" s="25">
        <f>$BS17+$BD17+$AN17+$X17+$H17+$CH17+$CW17+DL17</f>
        <v>0</v>
      </c>
      <c r="DM66" s="21">
        <f>$BT17+$BE17+$AO17+$Y17+$I17+$CI17+$CX17+DM17</f>
        <v>1082071.9166666667</v>
      </c>
      <c r="DN66" s="33">
        <f t="shared" si="58"/>
        <v>4.983945091392634E-3</v>
      </c>
      <c r="DO66" s="33">
        <f t="shared" si="59"/>
        <v>0.99501605490860734</v>
      </c>
      <c r="DP66" s="22">
        <f>$BW17+$BH17+$AS17+$AC17+$M17+$CL17+$DA17+$DP17</f>
        <v>1093380.2333333332</v>
      </c>
      <c r="DQ66" s="22">
        <f>$BX17+$BI17+$AT17+$AD17+$N17+$CM17+$DB17+$DQ17</f>
        <v>6784</v>
      </c>
      <c r="DR66" s="34">
        <f>SUM(DR67:DR68)</f>
        <v>11308.316666666666</v>
      </c>
      <c r="DS66" s="35">
        <f>$AC17+$AD17-$Y17+$BW17+$BX17-$BT17+$BH17+$BI17-$BE17+$AS17+$AT17-$AO17+$M17+$N17-$I17+$CL17+$CM17-$CI17+$DA17+$DB17-$CX17+$DP17+$DQ17-$DM17</f>
        <v>18092.316666666651</v>
      </c>
      <c r="DT66" s="921"/>
      <c r="DU66" s="910">
        <v>10</v>
      </c>
      <c r="DV66" s="1" t="s">
        <v>155</v>
      </c>
      <c r="DW66" s="22">
        <f>$BO17+$AZ17+$AJ17+$T17+$D17+$CD17+$CS17+$DH17+$DW17</f>
        <v>1223232.3333333333</v>
      </c>
      <c r="DX66" s="22">
        <f>$BP17+$BA17+$AK17+$U17+$E17+$CE17+$CT17+$DJ17+$DX17</f>
        <v>555.21666666666658</v>
      </c>
      <c r="DY66" s="42">
        <f>$BQ17+$BB17+$AL17+$V17+$F17+$CF17+$CU17+$DJ17+$DY17</f>
        <v>1101.9499999999998</v>
      </c>
      <c r="DZ66" s="38">
        <f>$BR17+$BC17+$AM17+$W17+$G17+$CG17+$CV17+$DK17+$DZ17</f>
        <v>5420</v>
      </c>
      <c r="EA66" s="785">
        <f>$BS17+$BD17+$AN17+$X17+$H17+$CH17+$CW17+$DL17+$EA17</f>
        <v>0</v>
      </c>
      <c r="EB66" s="21">
        <f>$BT17+$BE17+$AO17+$Y17+$I17+$CI17+$CX17+$DM17+$EB17</f>
        <v>1219469.5</v>
      </c>
      <c r="EC66" s="33">
        <f t="shared" si="60"/>
        <v>4.4248889389614339E-3</v>
      </c>
      <c r="ED66" s="33">
        <f t="shared" si="61"/>
        <v>0.99557511106103858</v>
      </c>
      <c r="EE66" s="22">
        <f>$BW17+$BH17+$AS17+$AC17+$M17+$CL17+$DA17+$DP17+$EE17</f>
        <v>1228521.5333333332</v>
      </c>
      <c r="EF66" s="22">
        <f>$BX17+$BI17+$AT17+$AD17+$N17+$CM17+$DB17+$DQ17+$EF17</f>
        <v>7632</v>
      </c>
      <c r="EG66" s="34">
        <f>SUM(EG67:EG68)</f>
        <v>9052.0333333333401</v>
      </c>
      <c r="EH66" s="35">
        <f>$AC17+$AD17-$Y17+$BW17+$BX17-$BT17+$BH17+$BI17-$BE17+$AS17+$AT17-$AO17+$M17+$N17-$I17+$CL17+$CM17-$CI17+$DA17+$DB17-$CX17+$DP17+$DQ17-$DM17+$EE17+$EF17-$EB17</f>
        <v>16684.033333333326</v>
      </c>
      <c r="EI66" s="941"/>
      <c r="EJ66" s="912">
        <v>10</v>
      </c>
      <c r="EK66" s="1" t="s">
        <v>155</v>
      </c>
      <c r="EL66" s="22">
        <f>$BO17+$AZ17+$AJ17+$T17+$D17+$CD17+$CS17+$DH17+$DW17+$EL17</f>
        <v>1359625.1833333333</v>
      </c>
      <c r="EM66" s="22">
        <f>$BP17+$BA17+$AK17+$U17+$E17+$CE17+$CT17+$DJ17+$DX17+$EM17</f>
        <v>555.21666666666658</v>
      </c>
      <c r="EN66" s="42">
        <f>$BQ17+$BB17+$AL17+$V17+$F17+$CF17+$CU17+$DJ17+$DY17+$EN17</f>
        <v>1101.9499999999998</v>
      </c>
      <c r="EO66" s="38">
        <f>$BR17+$BC17+$AM17+$W17+$G17+$CG17+$CV17+$DK17+$DZ17+$EO17</f>
        <v>5420</v>
      </c>
      <c r="EP66" s="785">
        <f>$BS17+$BD17+$AN17+$X17+$H17+$CH17+$CW17+$DL17+$EA17+$EP17</f>
        <v>0</v>
      </c>
      <c r="EQ66" s="21">
        <f>$BT17+$BE17+$AO17+$Y17+$I17+$CI17+$CX17+$DM17+$EB17+$EQ17</f>
        <v>1355862.35</v>
      </c>
      <c r="ER66" s="33">
        <f t="shared" si="62"/>
        <v>3.9815399061039767E-3</v>
      </c>
      <c r="ES66" s="33">
        <f t="shared" si="63"/>
        <v>0.99601846009389605</v>
      </c>
      <c r="ET66" s="22">
        <f>$BW17+$BH17+$AS17+$AC17+$M17+$CL17+$DA17+$DP17+$EE17+$ET17</f>
        <v>1365368.7999999998</v>
      </c>
      <c r="EU66" s="22">
        <f>$BX17+$BI17+$AT17+$AD17+$N17+$CM17+$DB17+$DQ17+$EF17+$EU17</f>
        <v>8480</v>
      </c>
      <c r="EV66" s="34">
        <f>SUM(EV67:EV68)</f>
        <v>9506.4500000000116</v>
      </c>
      <c r="EW66" s="35">
        <f>$AC17+$AD17-$Y17+$BW17+$BX17-$BT17+$BH17+$BI17-$BE17+$AS17+$AT17-$AO17+$M17+$N17-$I17+$CL17+$CM17-$CI17+$DA17+$DB17-$CX17+$DP17+$DQ17-$DM17+$EE17+$EF17-$EB17+$ET17+$EU17-$EQ17</f>
        <v>17986.449999999983</v>
      </c>
      <c r="EX66" s="925"/>
      <c r="EY66" s="910">
        <v>10</v>
      </c>
      <c r="EZ66" s="1" t="s">
        <v>155</v>
      </c>
      <c r="FA66" s="22">
        <f>$BO17+$AZ17+$AJ17+$T17+$D17+$CD17+$CS17+$DH17+$DW17+$EL17+$FA17</f>
        <v>1497119.0333333334</v>
      </c>
      <c r="FB66" s="22">
        <f>$BP17+$BA17+$AK17+$U17+$E17+$CE17+$CT17+$DJ17+$DX17+$EM17+$FB17</f>
        <v>555.21666666666658</v>
      </c>
      <c r="FC66" s="42">
        <f>$BQ17+$BB17+$AL17+$V17+$F17+$CF17+$CU17+$DJ17+$DY17+$EN17+$FC17</f>
        <v>1101.9499999999998</v>
      </c>
      <c r="FD66" s="38">
        <f>$BR17+$BC17+$AM17+$W17+$G17+$CG17+$CV17+$DK17+$DZ17+$EO17+$FD17</f>
        <v>5420</v>
      </c>
      <c r="FE66" s="785">
        <f>$BS17+$BD17+$AN17+$X17+$H17+$CH17+$CW17+$DL17+$EA17+$EP17+$FE17</f>
        <v>0</v>
      </c>
      <c r="FF66" s="21">
        <f>$BT17+$BE17+$AO17+$Y17+$I17+$CI17+$CX17+$DM17+$EB17+$EQ17+$FF17</f>
        <v>1493356.2000000002</v>
      </c>
      <c r="FG66" s="33">
        <f t="shared" si="67"/>
        <v>3.6162837386929415E-3</v>
      </c>
      <c r="FH66" s="33">
        <f t="shared" si="64"/>
        <v>0.99638371626130706</v>
      </c>
      <c r="FI66" s="22">
        <f>$BW17+$BH17+$AS17+$AC17+$M17+$CL17+$DA17+$DP17+$EE17+$ET17+$FI17</f>
        <v>1505916.0999999999</v>
      </c>
      <c r="FJ66" s="22">
        <f>$BX17+$BI17+$AT17+$AD17+$N17+$CM17+$DB17+$DQ17+$EF17+$EU17+$FJ17</f>
        <v>9328</v>
      </c>
      <c r="FK66" s="34">
        <f>SUM(FK67:FK68)</f>
        <v>12559.899999999994</v>
      </c>
      <c r="FL66" s="35">
        <f>$AC17+$AD17-$Y17+$BW17+$BX17-$BT17+$BH17+$BI17-$BE17+$AS17+$AT17-$AO17+$M17+$N17-$I17+$CL17+$CM17-$CI17+$DA17+$DB17-$CX17+$DP17+$DQ17-$DM17+$EE17+$EF17-$EB17+$ET17+$EU17-$EQ17+$FI17+$FJ17-$FF17</f>
        <v>21887.899999999936</v>
      </c>
      <c r="FM66" s="927"/>
      <c r="FN66" s="910">
        <v>10</v>
      </c>
      <c r="FO66" s="1" t="s">
        <v>155</v>
      </c>
      <c r="FP66" s="22">
        <f>$BO17+$AZ17+$AJ17+$T17+$D17+$CD17+$CS17+$DH17+$DW17+$EL17+$FA17+$FP17</f>
        <v>1631118.3</v>
      </c>
      <c r="FQ66" s="22">
        <f>$BP17+$BA17+$AK17+$U17+$E17+$CE17+$CT17+$DI17+$DX17+$EM17+$FB17+$FQ17</f>
        <v>555.21666666666658</v>
      </c>
      <c r="FR66" s="42">
        <f>$BQ17+$BB17+$AL17+$V17+$F17+$CF17+$CU17+$DJ17+$DY17+$EN17+$FC17+$FR17</f>
        <v>1101.9499999999998</v>
      </c>
      <c r="FS66" s="38">
        <f>$BR17+$BC17+$AM17+$W17+$G17+$CG17+$CV17+$DK17+$DZ17+$EO17+$FD17+$FS17</f>
        <v>5420</v>
      </c>
      <c r="FT66" s="785">
        <f>$BS17+$BD17+$AN17+$X17+$H17+$CH17+$CW17+$DL17+$EA17+$EP17+$FE17+$FT17</f>
        <v>0</v>
      </c>
      <c r="FU66" s="21">
        <f>$BT17+$BE17+$AO17+$Y17+$I17+$CI17+$CX17+$DM17+$EB17+$EQ17+$FF17+$FU17</f>
        <v>1627355.4666666668</v>
      </c>
      <c r="FV66" s="33">
        <f t="shared" si="65"/>
        <v>3.3195011259355852E-3</v>
      </c>
      <c r="FW66" s="33">
        <f t="shared" si="66"/>
        <v>0.9966804988740644</v>
      </c>
      <c r="FX66" s="22">
        <f>$BW17+$BH17+$AS17+$AC17+$M17+$CL17+$DA17+$DP17+$EE17+$ET17+$FI17+$FX17</f>
        <v>1637653.4</v>
      </c>
      <c r="FY66" s="22">
        <f>$BX17+$BI17+$AT17+$AD17+$N17+$CM17+$DB17+$DQ17+$EF17+$EU17+$FJ17+$FY17</f>
        <v>10176</v>
      </c>
      <c r="FZ66" s="34">
        <f>SUM(FZ67:FZ68)</f>
        <v>10297.933333333327</v>
      </c>
      <c r="GA66" s="35">
        <f>$AC17+$AD17-$Y17+$BW17+$BX17-$BT17+$BH17+$BI17-$BE17+$AS17+$AT17-$AO17+$M17+$N17-$I17+$CL17+$CM17-$CI17+$DA17+$DB17-$CX17+$DP17+$DQ17-$DM17+$EE17+$EF17-$EB17+$ET17+$EU17-$EQ17+$FI17+$FJ17-$FF17+$FX17+$FY17-$FU17</f>
        <v>20473.933333333262</v>
      </c>
    </row>
    <row r="67" spans="1:183">
      <c r="A67" s="906"/>
      <c r="B67" s="912">
        <v>11</v>
      </c>
      <c r="C67" s="876" t="s">
        <v>156</v>
      </c>
      <c r="D67" s="990">
        <f>SUM($D$18:D18)</f>
        <v>61755.26666666667</v>
      </c>
      <c r="E67" s="990">
        <f>SUM(E18:E18)</f>
        <v>161.55000000000001</v>
      </c>
      <c r="F67" s="59">
        <f t="shared" si="86"/>
        <v>0</v>
      </c>
      <c r="G67" s="106">
        <f t="shared" si="86"/>
        <v>451</v>
      </c>
      <c r="H67" s="785">
        <f t="shared" si="86"/>
        <v>0</v>
      </c>
      <c r="I67" s="1016">
        <f t="shared" si="86"/>
        <v>61465.816666666673</v>
      </c>
      <c r="J67" s="1017">
        <f t="shared" si="86"/>
        <v>56416</v>
      </c>
      <c r="K67" s="930">
        <f>(G67-H67)/(D67+E67+F67)</f>
        <v>7.2839662030428449E-3</v>
      </c>
      <c r="L67" s="930">
        <f>1-((G67-H67)/(D67+E67+F67))</f>
        <v>0.99271603379695716</v>
      </c>
      <c r="M67" s="990">
        <f t="shared" si="87"/>
        <v>62257</v>
      </c>
      <c r="N67" s="990">
        <f t="shared" si="87"/>
        <v>0</v>
      </c>
      <c r="O67" s="1018">
        <f>O18</f>
        <v>791.18333333332703</v>
      </c>
      <c r="P67" s="1019"/>
      <c r="Q67" s="909"/>
      <c r="R67" s="910">
        <v>11</v>
      </c>
      <c r="S67" s="876" t="s">
        <v>156</v>
      </c>
      <c r="T67" s="990">
        <f t="shared" si="88"/>
        <v>123853.46666666667</v>
      </c>
      <c r="U67" s="990">
        <f t="shared" si="88"/>
        <v>263.14999999999998</v>
      </c>
      <c r="V67" s="59">
        <f t="shared" si="88"/>
        <v>224.2</v>
      </c>
      <c r="W67" s="106">
        <f t="shared" si="88"/>
        <v>943</v>
      </c>
      <c r="X67" s="785">
        <f t="shared" si="88"/>
        <v>0</v>
      </c>
      <c r="Y67" s="1016">
        <f t="shared" si="89"/>
        <v>123397.81666666667</v>
      </c>
      <c r="Z67" s="1017">
        <f t="shared" si="89"/>
        <v>118806</v>
      </c>
      <c r="AA67" s="930">
        <f t="shared" si="41"/>
        <v>7.5839939392387777E-3</v>
      </c>
      <c r="AB67" s="930">
        <f t="shared" si="42"/>
        <v>0.99241600606076119</v>
      </c>
      <c r="AC67" s="990">
        <f t="shared" si="90"/>
        <v>124856</v>
      </c>
      <c r="AD67" s="990">
        <f t="shared" si="90"/>
        <v>0</v>
      </c>
      <c r="AE67" s="1018">
        <f>AE18+O18</f>
        <v>1458.1833333333343</v>
      </c>
      <c r="AF67" s="1019"/>
      <c r="AG67" s="911"/>
      <c r="AH67" s="912">
        <v>11</v>
      </c>
      <c r="AI67" s="876" t="s">
        <v>156</v>
      </c>
      <c r="AJ67" s="990">
        <f t="shared" si="91"/>
        <v>182472.11666666667</v>
      </c>
      <c r="AK67" s="990">
        <f t="shared" si="91"/>
        <v>270.95</v>
      </c>
      <c r="AL67" s="59">
        <f t="shared" si="91"/>
        <v>327.95</v>
      </c>
      <c r="AM67" s="106">
        <f t="shared" si="91"/>
        <v>1396</v>
      </c>
      <c r="AN67" s="785">
        <f t="shared" si="91"/>
        <v>0</v>
      </c>
      <c r="AO67" s="1016">
        <f t="shared" si="92"/>
        <v>181675.01666666666</v>
      </c>
      <c r="AP67" s="1017">
        <f t="shared" si="92"/>
        <v>118806</v>
      </c>
      <c r="AQ67" s="930">
        <f t="shared" si="46"/>
        <v>7.6254560957719399E-3</v>
      </c>
      <c r="AR67" s="930">
        <f t="shared" si="47"/>
        <v>0.99237454390422808</v>
      </c>
      <c r="AS67" s="990">
        <f t="shared" si="93"/>
        <v>183689</v>
      </c>
      <c r="AT67" s="990">
        <f t="shared" si="93"/>
        <v>0</v>
      </c>
      <c r="AU67" s="1018">
        <f>AU18+AE18+O18</f>
        <v>2013.9833333333299</v>
      </c>
      <c r="AV67" s="1019"/>
      <c r="AW67" s="913"/>
      <c r="AX67" s="912">
        <v>11</v>
      </c>
      <c r="AY67" s="876" t="s">
        <v>156</v>
      </c>
      <c r="AZ67" s="990">
        <f t="shared" si="94"/>
        <v>245657.01666666666</v>
      </c>
      <c r="BA67" s="990">
        <f t="shared" si="94"/>
        <v>283.95</v>
      </c>
      <c r="BB67" s="59">
        <f t="shared" si="94"/>
        <v>335.45</v>
      </c>
      <c r="BC67" s="106">
        <f t="shared" si="94"/>
        <v>1899</v>
      </c>
      <c r="BD67" s="785">
        <f t="shared" si="94"/>
        <v>0</v>
      </c>
      <c r="BE67" s="1016">
        <f t="shared" si="94"/>
        <v>244377.41666666669</v>
      </c>
      <c r="BF67" s="930">
        <f t="shared" si="50"/>
        <v>7.7108479394934612E-3</v>
      </c>
      <c r="BG67" s="930">
        <f t="shared" si="51"/>
        <v>0.9922891520605065</v>
      </c>
      <c r="BH67" s="990">
        <f>BH18+AS18+AC18+M18</f>
        <v>246971</v>
      </c>
      <c r="BI67" s="990"/>
      <c r="BJ67" s="1018">
        <f>BJ18+AU18+AE18+O18</f>
        <v>2593.5833333333285</v>
      </c>
      <c r="BK67" s="1019"/>
      <c r="BL67" s="914"/>
      <c r="BM67" s="910">
        <v>11</v>
      </c>
      <c r="BN67" s="876" t="s">
        <v>156</v>
      </c>
      <c r="BO67" s="990">
        <f>$BO18+$AZ18+$AJ18+$T18+$D18</f>
        <v>304605.61666666664</v>
      </c>
      <c r="BP67" s="990">
        <f>$BP18+$BA18+$AK18+$U18+$E18</f>
        <v>283.95</v>
      </c>
      <c r="BQ67" s="43">
        <f>$BQ18+$BB18+$AL18+$V18+$F18</f>
        <v>335.45</v>
      </c>
      <c r="BR67" s="106">
        <f>$BR18+$BC18+$AM18+$W18+$G18</f>
        <v>1899</v>
      </c>
      <c r="BS67" s="785">
        <f>$BS18+$BD18+$AN18+$X18+$H18</f>
        <v>0</v>
      </c>
      <c r="BT67" s="1016">
        <f>$BT18+$BE18+$AO18+$Y18+$I18</f>
        <v>303326.01666666666</v>
      </c>
      <c r="BU67" s="930">
        <f t="shared" si="52"/>
        <v>6.2216394342075824E-3</v>
      </c>
      <c r="BV67" s="930">
        <f t="shared" si="53"/>
        <v>0.99377836056579238</v>
      </c>
      <c r="BW67" s="990">
        <f>$BW18+$BH18+$AS18+$AC18+$M18</f>
        <v>306038.66666666663</v>
      </c>
      <c r="BX67" s="990"/>
      <c r="BY67" s="1018">
        <f>$BY18+$BJ18+$AU18+$AE18+$O18</f>
        <v>2712.6499999999942</v>
      </c>
      <c r="BZ67" s="1019"/>
      <c r="CA67" s="915"/>
      <c r="CB67" s="912">
        <v>11</v>
      </c>
      <c r="CC67" s="876" t="s">
        <v>156</v>
      </c>
      <c r="CD67" s="990">
        <f>$BO18+$AZ18+$AJ18+$T18+$D18+$CD18</f>
        <v>365454.36666666664</v>
      </c>
      <c r="CE67" s="990">
        <f>$BP18+$BA18+$AK18+$U18+$E18+$CE18</f>
        <v>283.95</v>
      </c>
      <c r="CF67" s="43">
        <f>$BQ18+$BB18+$AL18+$V18+$F18+$CF18</f>
        <v>335.45</v>
      </c>
      <c r="CG67" s="106">
        <f>$BR18+$BC18+$AM18+$W18+$G18+$CG18</f>
        <v>1899</v>
      </c>
      <c r="CH67" s="785">
        <f>$BS18+$BD18+$AN18+$X18+$H18+$CH18</f>
        <v>0</v>
      </c>
      <c r="CI67" s="1016">
        <f>$BT18+$BE18+$AO18+$Y18+$I18+$CI18</f>
        <v>364174.76666666666</v>
      </c>
      <c r="CJ67" s="930">
        <f t="shared" si="54"/>
        <v>5.1874790627353526E-3</v>
      </c>
      <c r="CK67" s="930">
        <f t="shared" si="55"/>
        <v>0.99481252093726469</v>
      </c>
      <c r="CL67" s="990">
        <f>$BW18+$BH18+$AS18+$AC18+$M18+$CL18</f>
        <v>367052.96666666662</v>
      </c>
      <c r="CM67" s="990"/>
      <c r="CN67" s="1018">
        <f>$BY18+$BJ18+$AU18+$AE18+$O18+$CN18</f>
        <v>2878.1999999999971</v>
      </c>
      <c r="CO67" s="1019"/>
      <c r="CP67" s="919"/>
      <c r="CQ67" s="912">
        <v>11</v>
      </c>
      <c r="CR67" s="876" t="s">
        <v>156</v>
      </c>
      <c r="CS67" s="990">
        <f>$BO18+$AZ18+$AJ18+$T18+$D18+$CD18+$CS18</f>
        <v>427416.28333333333</v>
      </c>
      <c r="CT67" s="990">
        <f>$BP18+$BA18+$AK18+$U18+$E18+$CE18+$CT18</f>
        <v>283.95</v>
      </c>
      <c r="CU67" s="43">
        <f>$BQ18+$BB18+$AL18+$V18+$F18+$CF18+$CU18</f>
        <v>335.45</v>
      </c>
      <c r="CV67" s="106">
        <f>$BR18+$BC18+$AM18+$W18+$G18+$CG18+$CV18</f>
        <v>1899</v>
      </c>
      <c r="CW67" s="785">
        <f>$BS18+$BD18+$AN18+$X18+$H18+$CH18+$CW18</f>
        <v>0</v>
      </c>
      <c r="CX67" s="1016">
        <f>$BT18+$BE18+$AO18+$Y18+$I18+$CI18+$CX18</f>
        <v>426136.68333333335</v>
      </c>
      <c r="CY67" s="930">
        <f t="shared" si="56"/>
        <v>4.4365460029208619E-3</v>
      </c>
      <c r="CZ67" s="930">
        <f t="shared" si="57"/>
        <v>0.99556345399707913</v>
      </c>
      <c r="DA67" s="990">
        <f>$BW18+$BH18+$AS18+$AC18+$M18+$CL18+$DA18</f>
        <v>429200.89999999997</v>
      </c>
      <c r="DB67" s="990"/>
      <c r="DC67" s="1018">
        <f>$BY18+$BJ18+$AU18+$AE18+$O18+$CN18+$DC18</f>
        <v>3064.2166666666453</v>
      </c>
      <c r="DD67" s="1019"/>
      <c r="DE67" s="920"/>
      <c r="DF67" s="910">
        <v>11</v>
      </c>
      <c r="DG67" s="876" t="s">
        <v>156</v>
      </c>
      <c r="DH67" s="990">
        <f>$BO18+$AZ18+$AJ18+$T18+$D18+$CD18+$CS18+$DH18</f>
        <v>483720.6166666667</v>
      </c>
      <c r="DI67" s="990">
        <f>$BP18+$BA18+$AK18+$U18+$E18+$CE18+$CT18+$DJ18</f>
        <v>283.95</v>
      </c>
      <c r="DJ67" s="43">
        <f>$BQ18+$BB18+$AL18+$V18+$F18+$CF18+$CU18+$DJ18</f>
        <v>335.45</v>
      </c>
      <c r="DK67" s="106">
        <f>$BR18+$BC18+$AM18+$W18+$G18+$CG18+$CV18+$DK18</f>
        <v>1899</v>
      </c>
      <c r="DL67" s="785">
        <f>$BS18+$BD18+$AN18+$X18+$H18+$CH18+$CW18+DL18</f>
        <v>0</v>
      </c>
      <c r="DM67" s="1016">
        <f>$BT18+$BE18+$AO18+$Y18+$I18+$CI18+$CX18+DM18</f>
        <v>482441.01666666672</v>
      </c>
      <c r="DN67" s="930">
        <f t="shared" si="58"/>
        <v>3.9207993034920605E-3</v>
      </c>
      <c r="DO67" s="930">
        <f t="shared" si="59"/>
        <v>0.9960792006965079</v>
      </c>
      <c r="DP67" s="990">
        <f>$BW18+$BH18+$AS18+$AC18+$M18+$CL18+$DA18+$DP18</f>
        <v>486769.56666666665</v>
      </c>
      <c r="DQ67" s="990"/>
      <c r="DR67" s="1020">
        <f>$BY18+$BJ18+$AU18+$AE18+$O18+$CN18+$DC18+$DR18</f>
        <v>4328.5499999999593</v>
      </c>
      <c r="DS67" s="1019"/>
      <c r="DT67" s="921"/>
      <c r="DU67" s="910">
        <v>11</v>
      </c>
      <c r="DV67" s="876" t="s">
        <v>156</v>
      </c>
      <c r="DW67" s="990">
        <f>$BO18+$AZ18+$AJ18+$T18+$D18+$CD18+$CS18+$DH18+$DW18</f>
        <v>544925.56666666665</v>
      </c>
      <c r="DX67" s="990">
        <f>$BP18+$BA18+$AK18+$U18+$E18+$CE18+$CT18+$DJ18+$DX18</f>
        <v>283.95</v>
      </c>
      <c r="DY67" s="43">
        <f>$BQ18+$BB18+$AL18+$V18+$F18+$CF18+$CU18+$DJ18+$DY18</f>
        <v>335.45</v>
      </c>
      <c r="DZ67" s="106">
        <f>$BR18+$BC18+$AM18+$W18+$G18+$CG18+$CV18+$DK18+$DZ18</f>
        <v>1899</v>
      </c>
      <c r="EA67" s="785">
        <f>$BS18+$BD18+$AN18+$X18+$H18+$CH18+$CW18+$DL18+$EA18</f>
        <v>0</v>
      </c>
      <c r="EB67" s="1016">
        <f>$BT18+$BE18+$AO18+$Y18+$I18+$CI18+$CX18+$DM18+$EB18</f>
        <v>543645.96666666667</v>
      </c>
      <c r="EC67" s="930">
        <f t="shared" si="60"/>
        <v>3.4809229596655927E-3</v>
      </c>
      <c r="ED67" s="930">
        <f t="shared" si="61"/>
        <v>0.99651907704033438</v>
      </c>
      <c r="EE67" s="990">
        <f>$BW18+$BH18+$AS18+$AC18+$M18+$CL18+$DA18+$DP18+$EE18</f>
        <v>546970.8666666667</v>
      </c>
      <c r="EF67" s="990"/>
      <c r="EG67" s="1020">
        <f>$BY18+$BJ18+$AU18+$AE18+$O18+$CN18+$DC18+$DR18+$EG18</f>
        <v>3324.8999999999651</v>
      </c>
      <c r="EH67" s="1019"/>
      <c r="EI67" s="941"/>
      <c r="EJ67" s="912">
        <v>11</v>
      </c>
      <c r="EK67" s="876" t="s">
        <v>156</v>
      </c>
      <c r="EL67" s="990">
        <f>$BO18+$AZ18+$AJ18+$T18+$D18+$CD18+$CS18+$DH18+$DW18+$EL18</f>
        <v>605756.15</v>
      </c>
      <c r="EM67" s="990">
        <f>$BP18+$BA18+$AK18+$U18+$E18+$CE18+$CT18+$DJ18+$DX18+$EM18</f>
        <v>283.95</v>
      </c>
      <c r="EN67" s="43">
        <f>$BQ18+$BB18+$AL18+$V18+$F18+$CF18+$CU18+$DJ18+$DY18+$EN18</f>
        <v>335.45</v>
      </c>
      <c r="EO67" s="106">
        <f>$BR18+$BC18+$AM18+$W18+$G18+$CG18+$CV18+$DK18+$DZ18+$EO18</f>
        <v>1899</v>
      </c>
      <c r="EP67" s="785">
        <f>$BS18+$BD18+$AN18+$X18+$H18+$CH18+$CW18+$DL18+$EA18+$EP18</f>
        <v>0</v>
      </c>
      <c r="EQ67" s="1016">
        <f>$BT18+$BE18+$AO18+$Y18+$I18+$CI18+$CX18+$DM18+$EB18+$EQ18</f>
        <v>604476.55000000005</v>
      </c>
      <c r="ER67" s="930">
        <f t="shared" si="62"/>
        <v>3.1317225768750078E-3</v>
      </c>
      <c r="ES67" s="930">
        <f t="shared" si="63"/>
        <v>0.996868277423125</v>
      </c>
      <c r="ET67" s="990">
        <f>$BW18+$BH18+$AS18+$AC18+$M18+$CL18+$DA18+$DP18+$EE18+$ET18</f>
        <v>607962.80000000005</v>
      </c>
      <c r="EU67" s="990"/>
      <c r="EV67" s="1020">
        <f>$BY18+$BJ18+$AU18+$AE18+$O18+$CN18+$DC18+$DR18+$EG18+$EV18</f>
        <v>3486.2499999999418</v>
      </c>
      <c r="EW67" s="1019"/>
      <c r="EX67" s="925"/>
      <c r="EY67" s="910">
        <v>11</v>
      </c>
      <c r="EZ67" s="876" t="s">
        <v>156</v>
      </c>
      <c r="FA67" s="990">
        <f>$BO18+$AZ18+$AJ18+$T18+$D18+$CD18+$CS18+$DH18+$DW18+$EL18+$FA18</f>
        <v>667032.53333333344</v>
      </c>
      <c r="FB67" s="990">
        <f>$BP18+$BA18+$AK18+$U18+$E18+$CE18+$CT18+$DJ18+$DX18+$EM18+$FB18</f>
        <v>283.95</v>
      </c>
      <c r="FC67" s="43">
        <f>$BQ18+$BB18+$AL18+$V18+$F18+$CF18+$CU18+$DJ18+$DY18+$EN18+$FC18</f>
        <v>335.45</v>
      </c>
      <c r="FD67" s="106">
        <f>$BR18+$BC18+$AM18+$W18+$G18+$CG18+$CV18+$DK18+$DZ18+$EO18+$FD18</f>
        <v>1899</v>
      </c>
      <c r="FE67" s="785">
        <f>$BS18+$BD18+$AN18+$X18+$H18+$CH18+$CW18+$DL18+$EA18+$EP18+$FE18</f>
        <v>0</v>
      </c>
      <c r="FF67" s="1016">
        <f>$BT18+$BE18+$AO18+$Y18+$I18+$CI18+$CX18+$DM18+$EB18+$EQ18+$FF18</f>
        <v>665752.93333333335</v>
      </c>
      <c r="FG67" s="930">
        <f t="shared" si="67"/>
        <v>2.8442964143292628E-3</v>
      </c>
      <c r="FH67" s="930">
        <f t="shared" si="64"/>
        <v>0.99715570358567074</v>
      </c>
      <c r="FI67" s="990">
        <f>$BW18+$BH18+$AS18+$AC18+$M18+$CL18+$DA18+$DP18+$EE18+$ET18+$FI18</f>
        <v>670476.10000000009</v>
      </c>
      <c r="FJ67" s="990"/>
      <c r="FK67" s="1020">
        <f>$BY18+$BJ18+$AU18+$AE18+$O18+$CN18+$DC18+$DR18+$EG18+$EV18+$FK18</f>
        <v>4723.1666666665842</v>
      </c>
      <c r="FL67" s="1019"/>
      <c r="FM67" s="927"/>
      <c r="FN67" s="910">
        <v>11</v>
      </c>
      <c r="FO67" s="876" t="s">
        <v>156</v>
      </c>
      <c r="FP67" s="990">
        <f>$BO18+$AZ18+$AJ18+$T18+$D18+$CD18+$CS18+$DH18+$DW18+$EL18+$FA18+$FP18</f>
        <v>726736.68333333347</v>
      </c>
      <c r="FQ67" s="990">
        <f>$BP18+$BA18+$AK18+$U18+$E18+$CE18+$CT18+DI18+$DX18+$EM18+$FB18+$FQ18</f>
        <v>283.95</v>
      </c>
      <c r="FR67" s="43">
        <f>$BQ18+$BB18+$AL18+$V18+$F18+$CF18+$CU18+$DJ18+$DY18+$EN18+$FC18+$FR18</f>
        <v>335.45</v>
      </c>
      <c r="FS67" s="106">
        <f>$BR18+$BC18+$AM18+$W18+$G18+$CG18+$CV18+$DK18+$DZ18+$EO18+$FD18+$FS18</f>
        <v>1899</v>
      </c>
      <c r="FT67" s="785">
        <f>$BS18+$BD18+$AN18+$X18+$H18+$CH18+$CW18+$DL18+$EA18+$EP18+$FE18+$FT18</f>
        <v>0</v>
      </c>
      <c r="FU67" s="1016">
        <f>$BT18+$BE18+$AO18+$Y18+$I18+$CI18+$CX18+$DM18+$EB18+$EQ18+$FF18+$FU18</f>
        <v>725457.08333333337</v>
      </c>
      <c r="FV67" s="930">
        <f t="shared" si="65"/>
        <v>2.6108257612932131E-3</v>
      </c>
      <c r="FW67" s="930">
        <f t="shared" si="66"/>
        <v>0.99738917423870677</v>
      </c>
      <c r="FX67" s="990">
        <f>$BW18+$BH18+$AS18+$AC18+$M18+$CL18+$DA18+$DP18+$EE18+$ET18+$FI18+$FX18</f>
        <v>729178.40000000014</v>
      </c>
      <c r="FY67" s="990"/>
      <c r="FZ67" s="1020">
        <f>$BY18+$BJ18+$AU18+$AE18+$O18+$CN18+$DC18+$DR18+$EG18+$EV18+$FK18+$FZ18</f>
        <v>3721.3166666665857</v>
      </c>
      <c r="GA67" s="1019"/>
    </row>
    <row r="68" spans="1:183">
      <c r="A68" s="906"/>
      <c r="B68" s="912">
        <v>12</v>
      </c>
      <c r="C68" s="876" t="s">
        <v>157</v>
      </c>
      <c r="D68" s="990">
        <f>SUM($D$19:D19)</f>
        <v>77020.899999999994</v>
      </c>
      <c r="E68" s="990">
        <f>SUM(E19:E19)</f>
        <v>134.93333333333328</v>
      </c>
      <c r="F68" s="59">
        <f t="shared" si="86"/>
        <v>295.89999999999998</v>
      </c>
      <c r="G68" s="106">
        <f t="shared" si="86"/>
        <v>810</v>
      </c>
      <c r="H68" s="785">
        <f t="shared" si="86"/>
        <v>0</v>
      </c>
      <c r="I68" s="1016">
        <f t="shared" si="86"/>
        <v>76641.733333333323</v>
      </c>
      <c r="J68" s="1017">
        <f t="shared" si="86"/>
        <v>73417</v>
      </c>
      <c r="K68" s="930">
        <f>(G68-H68)/(D68+E68+F68)</f>
        <v>1.0458126179229045E-2</v>
      </c>
      <c r="L68" s="930">
        <f>1-((G68-H68)/(D68+E68+F68))</f>
        <v>0.98954187382077097</v>
      </c>
      <c r="M68" s="990">
        <f t="shared" si="87"/>
        <v>77570</v>
      </c>
      <c r="N68" s="990">
        <f t="shared" si="87"/>
        <v>0</v>
      </c>
      <c r="O68" s="1018">
        <f>O19</f>
        <v>928.26666666667734</v>
      </c>
      <c r="P68" s="1019"/>
      <c r="Q68" s="909"/>
      <c r="R68" s="910">
        <v>12</v>
      </c>
      <c r="S68" s="876" t="s">
        <v>157</v>
      </c>
      <c r="T68" s="990">
        <f t="shared" si="88"/>
        <v>154396.25</v>
      </c>
      <c r="U68" s="990">
        <f t="shared" si="88"/>
        <v>218.5499999999999</v>
      </c>
      <c r="V68" s="59">
        <f t="shared" si="88"/>
        <v>612.59999999999991</v>
      </c>
      <c r="W68" s="106">
        <f t="shared" si="88"/>
        <v>1784</v>
      </c>
      <c r="X68" s="785">
        <f t="shared" si="88"/>
        <v>0</v>
      </c>
      <c r="Y68" s="1016">
        <f t="shared" si="89"/>
        <v>153443.4</v>
      </c>
      <c r="Z68" s="1017">
        <f t="shared" si="89"/>
        <v>150901</v>
      </c>
      <c r="AA68" s="930">
        <f t="shared" si="41"/>
        <v>1.1492816345567858E-2</v>
      </c>
      <c r="AB68" s="930">
        <f t="shared" si="42"/>
        <v>0.98850718365443213</v>
      </c>
      <c r="AC68" s="990">
        <f t="shared" si="90"/>
        <v>155498</v>
      </c>
      <c r="AD68" s="990">
        <f t="shared" si="90"/>
        <v>0</v>
      </c>
      <c r="AE68" s="1018">
        <f>AE19+O19</f>
        <v>2054.6000000000058</v>
      </c>
      <c r="AF68" s="1019"/>
      <c r="AG68" s="911"/>
      <c r="AH68" s="912">
        <v>12</v>
      </c>
      <c r="AI68" s="876" t="s">
        <v>157</v>
      </c>
      <c r="AJ68" s="990">
        <f t="shared" si="91"/>
        <v>227439.11666666667</v>
      </c>
      <c r="AK68" s="990">
        <f t="shared" si="91"/>
        <v>238.09999999999991</v>
      </c>
      <c r="AL68" s="59">
        <f t="shared" si="91"/>
        <v>760.8</v>
      </c>
      <c r="AM68" s="106">
        <f t="shared" si="91"/>
        <v>2610</v>
      </c>
      <c r="AN68" s="785">
        <f t="shared" si="91"/>
        <v>0</v>
      </c>
      <c r="AO68" s="1016">
        <f t="shared" si="92"/>
        <v>225828.01666666666</v>
      </c>
      <c r="AP68" s="1017">
        <f t="shared" si="92"/>
        <v>150901</v>
      </c>
      <c r="AQ68" s="930">
        <f t="shared" si="46"/>
        <v>1.1425418755094835E-2</v>
      </c>
      <c r="AR68" s="930">
        <f t="shared" si="47"/>
        <v>0.98857458124490516</v>
      </c>
      <c r="AS68" s="990">
        <f t="shared" si="93"/>
        <v>228975</v>
      </c>
      <c r="AT68" s="990">
        <f t="shared" si="93"/>
        <v>0</v>
      </c>
      <c r="AU68" s="1018">
        <f>AU19+AE19+O19</f>
        <v>3146.9833333333372</v>
      </c>
      <c r="AV68" s="1019"/>
      <c r="AW68" s="913"/>
      <c r="AX68" s="912">
        <v>12</v>
      </c>
      <c r="AY68" s="876" t="s">
        <v>157</v>
      </c>
      <c r="AZ68" s="990">
        <f t="shared" si="94"/>
        <v>305836.43333333335</v>
      </c>
      <c r="BA68" s="990">
        <f t="shared" si="94"/>
        <v>271.26666666666654</v>
      </c>
      <c r="BB68" s="59">
        <f t="shared" si="94"/>
        <v>766.5</v>
      </c>
      <c r="BC68" s="106">
        <f t="shared" si="94"/>
        <v>3521</v>
      </c>
      <c r="BD68" s="785">
        <f t="shared" si="94"/>
        <v>0</v>
      </c>
      <c r="BE68" s="1016">
        <f t="shared" si="94"/>
        <v>303353.2</v>
      </c>
      <c r="BF68" s="930">
        <f t="shared" si="50"/>
        <v>1.1473756998796249E-2</v>
      </c>
      <c r="BG68" s="930">
        <f t="shared" si="51"/>
        <v>0.98852624300120373</v>
      </c>
      <c r="BH68" s="990">
        <f>BH19+AS19+AC19+M19</f>
        <v>307651</v>
      </c>
      <c r="BI68" s="990"/>
      <c r="BJ68" s="1018">
        <f>BJ19+AU19+AE19+O19</f>
        <v>4297.8000000000175</v>
      </c>
      <c r="BK68" s="1019"/>
      <c r="BL68" s="914"/>
      <c r="BM68" s="910">
        <v>12</v>
      </c>
      <c r="BN68" s="876" t="s">
        <v>157</v>
      </c>
      <c r="BO68" s="990">
        <f>$BO19+$AZ19+$AJ19+$T19+$D19</f>
        <v>379228.78333333333</v>
      </c>
      <c r="BP68" s="990">
        <f>$BP19+$BA19+$AK19+$U19+$E19</f>
        <v>271.26666666666654</v>
      </c>
      <c r="BQ68" s="43">
        <f>$BQ19+$BB19+$AL19+$V19+$F19</f>
        <v>766.5</v>
      </c>
      <c r="BR68" s="106">
        <f>$BR19+$BC19+$AM19+$W19+$G19</f>
        <v>3521</v>
      </c>
      <c r="BS68" s="785">
        <f>$BS19+$BD19+$AN19+$X19+$H19</f>
        <v>0</v>
      </c>
      <c r="BT68" s="1016">
        <f>$BT19+$BE19+$AO19+$Y19+$I19</f>
        <v>376745.55</v>
      </c>
      <c r="BU68" s="930">
        <f t="shared" si="52"/>
        <v>9.2592945658775405E-3</v>
      </c>
      <c r="BV68" s="930">
        <f t="shared" si="53"/>
        <v>0.9907407054341224</v>
      </c>
      <c r="BW68" s="990">
        <f>$BW19+$BH19+$AS19+$AC19+$M19</f>
        <v>381317.66666666669</v>
      </c>
      <c r="BX68" s="990"/>
      <c r="BY68" s="1018">
        <f>$BY19+$BJ19+$AU19+$AE19+$O19</f>
        <v>4572.1166666666832</v>
      </c>
      <c r="BZ68" s="1019"/>
      <c r="CA68" s="915"/>
      <c r="CB68" s="912">
        <v>12</v>
      </c>
      <c r="CC68" s="876" t="s">
        <v>157</v>
      </c>
      <c r="CD68" s="990">
        <f>$BO19+$AZ19+$AJ19+$T19+$D19+$CD19</f>
        <v>455062</v>
      </c>
      <c r="CE68" s="990">
        <f>$BP19+$BA19+$AK19+$U19+$E19+$CE19</f>
        <v>271.26666666666654</v>
      </c>
      <c r="CF68" s="43">
        <f>$BQ19+$BB19+$AL19+$V19+$F19+$CF19</f>
        <v>766.5</v>
      </c>
      <c r="CG68" s="106">
        <f>$BR19+$BC19+$AM19+$W19+$G19+$CG19</f>
        <v>3521</v>
      </c>
      <c r="CH68" s="785">
        <f>$BS19+$BD19+$AN19+$X19+$H19+$CH19</f>
        <v>0</v>
      </c>
      <c r="CI68" s="1016">
        <f>$BT19+$BE19+$AO19+$Y19+$I19+$CI19</f>
        <v>452578.76666666666</v>
      </c>
      <c r="CJ68" s="930">
        <f t="shared" si="54"/>
        <v>7.7198022391738418E-3</v>
      </c>
      <c r="CK68" s="930">
        <f t="shared" si="55"/>
        <v>0.99228019776082621</v>
      </c>
      <c r="CL68" s="990">
        <f>$BW19+$BH19+$AS19+$AC19+$M19+$CL19</f>
        <v>457446.66666666669</v>
      </c>
      <c r="CM68" s="990"/>
      <c r="CN68" s="1018">
        <f>$BY19+$BJ19+$AU19+$AE19+$O19+$CN19</f>
        <v>4867.9000000000233</v>
      </c>
      <c r="CO68" s="1019"/>
      <c r="CP68" s="919"/>
      <c r="CQ68" s="912">
        <v>12</v>
      </c>
      <c r="CR68" s="876" t="s">
        <v>157</v>
      </c>
      <c r="CS68" s="990">
        <f>$BO19+$AZ19+$AJ19+$T19+$D19+$CD19+$CS19</f>
        <v>532157.4</v>
      </c>
      <c r="CT68" s="990">
        <f>$BP19+$BA19+$AK19+$U19+$E19+$CE19+$CT19</f>
        <v>271.26666666666654</v>
      </c>
      <c r="CU68" s="43">
        <f>$BQ19+$BB19+$AL19+$V19+$F19+$CF19+$CU19</f>
        <v>766.5</v>
      </c>
      <c r="CV68" s="106">
        <f>$BR19+$BC19+$AM19+$W19+$G19+$CG19+$CV19</f>
        <v>3521</v>
      </c>
      <c r="CW68" s="785">
        <f>$BS19+$BD19+$AN19+$X19+$H19+$CH19+$CW19</f>
        <v>0</v>
      </c>
      <c r="CX68" s="1016">
        <f>$BT19+$BE19+$AO19+$Y19+$I19+$CI19+$CX19</f>
        <v>529674.16666666663</v>
      </c>
      <c r="CY68" s="930">
        <f t="shared" si="56"/>
        <v>6.6035857414311382E-3</v>
      </c>
      <c r="CZ68" s="930">
        <f t="shared" si="57"/>
        <v>0.99339641425856884</v>
      </c>
      <c r="DA68" s="990">
        <f>$BW19+$BH19+$AS19+$AC19+$M19+$CL19+$DA19</f>
        <v>534849</v>
      </c>
      <c r="DB68" s="990"/>
      <c r="DC68" s="1018">
        <f>$BY19+$BJ19+$AU19+$AE19+$O19+$CN19+$DC19</f>
        <v>5174.8333333333721</v>
      </c>
      <c r="DD68" s="1019"/>
      <c r="DE68" s="920"/>
      <c r="DF68" s="910">
        <v>12</v>
      </c>
      <c r="DG68" s="876" t="s">
        <v>157</v>
      </c>
      <c r="DH68" s="990">
        <f>$BO19+$AZ19+$AJ19+$T19+$D19+$CD19+$CS19+$DH19</f>
        <v>602114.1333333333</v>
      </c>
      <c r="DI68" s="990">
        <f>$BP19+$BA19+$AK19+$U19+$E19+$CE19+$CT19+$DJ19</f>
        <v>271.26666666666654</v>
      </c>
      <c r="DJ68" s="43">
        <f>$BQ19+$BB19+$AL19+$V19+$F19+$CF19+$CU19+$DJ19</f>
        <v>766.5</v>
      </c>
      <c r="DK68" s="106">
        <f>$BR19+$BC19+$AM19+$W19+$G19+$CG19+$CV19+$DK19</f>
        <v>3521</v>
      </c>
      <c r="DL68" s="785">
        <f>$BS19+$BD19+$AN19+$X19+$H19+$CH19+$CW19+DL19</f>
        <v>0</v>
      </c>
      <c r="DM68" s="1016">
        <f>$BT19+$BE19+$AO19+$Y19+$I19+$CI19+$CX19+DM19</f>
        <v>599630.89999999991</v>
      </c>
      <c r="DN68" s="930">
        <f t="shared" si="58"/>
        <v>5.8376670951380567E-3</v>
      </c>
      <c r="DO68" s="930">
        <f t="shared" si="59"/>
        <v>0.99416233290486189</v>
      </c>
      <c r="DP68" s="990">
        <f>$BW19+$BH19+$AS19+$AC19+$M19+$CL19+$DA19+$DP19</f>
        <v>606610.66666666663</v>
      </c>
      <c r="DQ68" s="990"/>
      <c r="DR68" s="1020">
        <f>$BY19+$BJ19+$AU19+$AE19+$O19+$CN19+$DC19+$DR19</f>
        <v>6979.7666666667064</v>
      </c>
      <c r="DS68" s="1019"/>
      <c r="DT68" s="921"/>
      <c r="DU68" s="910">
        <v>12</v>
      </c>
      <c r="DV68" s="876" t="s">
        <v>157</v>
      </c>
      <c r="DW68" s="990">
        <f>$BO19+$AZ19+$AJ19+$T19+$D19+$CD19+$CS19+$DH19+$DW19</f>
        <v>678306.7666666666</v>
      </c>
      <c r="DX68" s="990">
        <f>$BP19+$BA19+$AK19+$U19+$E19+$CE19+$CT19+$DJ19+$DX19</f>
        <v>271.26666666666654</v>
      </c>
      <c r="DY68" s="43">
        <f>$BQ19+$BB19+$AL19+$V19+$F19+$CF19+$CU19+$DJ19+$DY19</f>
        <v>766.5</v>
      </c>
      <c r="DZ68" s="106">
        <f>$BR19+$BC19+$AM19+$W19+$G19+$CG19+$CV19+$DK19+$DZ19</f>
        <v>3521</v>
      </c>
      <c r="EA68" s="785">
        <f>$BS19+$BD19+$AN19+$X19+$H19+$CH19+$CW19+$DL19+$EA19</f>
        <v>0</v>
      </c>
      <c r="EB68" s="1016">
        <f>$BT19+$BE19+$AO19+$Y19+$I19+$CI19+$CX19+$DM19+$EB19</f>
        <v>675823.53333333321</v>
      </c>
      <c r="EC68" s="930">
        <f t="shared" si="60"/>
        <v>5.182937121350698E-3</v>
      </c>
      <c r="ED68" s="930">
        <f t="shared" si="61"/>
        <v>0.99481706287864935</v>
      </c>
      <c r="EE68" s="990">
        <f>$BW19+$BH19+$AS19+$AC19+$M19+$CL19+$DA19+$DP19+$EE19</f>
        <v>681550.66666666663</v>
      </c>
      <c r="EF68" s="990"/>
      <c r="EG68" s="1020">
        <f>$BY19+$BJ19+$AU19+$AE19+$O19+$CN19+$DC19+$DR19+$EG19</f>
        <v>5727.133333333375</v>
      </c>
      <c r="EH68" s="1019"/>
      <c r="EI68" s="941"/>
      <c r="EJ68" s="912">
        <v>12</v>
      </c>
      <c r="EK68" s="876" t="s">
        <v>157</v>
      </c>
      <c r="EL68" s="990">
        <f>$BO19+$AZ19+$AJ19+$T19+$D19+$CD19+$CS19+$DH19+$DW19+$EL19</f>
        <v>753869.03333333321</v>
      </c>
      <c r="EM68" s="990">
        <f>$BP19+$BA19+$AK19+$U19+$E19+$CE19+$CT19+$DJ19+$DX19+$EM19</f>
        <v>271.26666666666654</v>
      </c>
      <c r="EN68" s="43">
        <f>$BQ19+$BB19+$AL19+$V19+$F19+$CF19+$CU19+$DJ19+$DY19+$EN19</f>
        <v>766.5</v>
      </c>
      <c r="EO68" s="106">
        <f>$BR19+$BC19+$AM19+$W19+$G19+$CG19+$CV19+$DK19+$DZ19+$EO19</f>
        <v>3521</v>
      </c>
      <c r="EP68" s="785">
        <f>$BS19+$BD19+$AN19+$X19+$H19+$CH19+$CW19+$DL19+$EA19+$EP19</f>
        <v>0</v>
      </c>
      <c r="EQ68" s="1016">
        <f>$BT19+$BE19+$AO19+$Y19+$I19+$CI19+$CX19+$DM19+$EB19+$EQ19</f>
        <v>751385.79999999981</v>
      </c>
      <c r="ER68" s="930">
        <f t="shared" si="62"/>
        <v>4.6641519191508145E-3</v>
      </c>
      <c r="ES68" s="930">
        <f t="shared" si="63"/>
        <v>0.99533584808084918</v>
      </c>
      <c r="ET68" s="990">
        <f>$BW19+$BH19+$AS19+$AC19+$M19+$CL19+$DA19+$DP19+$EE19+$ET19</f>
        <v>757406</v>
      </c>
      <c r="EU68" s="990"/>
      <c r="EV68" s="1020">
        <f>$BY19+$BJ19+$AU19+$AE19+$O19+$CN19+$DC19+$DR19+$EG19+$EV19</f>
        <v>6020.2000000000698</v>
      </c>
      <c r="EW68" s="1019"/>
      <c r="EX68" s="925"/>
      <c r="EY68" s="910">
        <v>12</v>
      </c>
      <c r="EZ68" s="876" t="s">
        <v>157</v>
      </c>
      <c r="FA68" s="990">
        <f>$BO19+$AZ19+$AJ19+$T19+$D19+$CD19+$CS19+$DH19+$DW19+$EL19+$FA19</f>
        <v>830086.49999999988</v>
      </c>
      <c r="FB68" s="990">
        <f>$BP19+$BA19+$AK19+$U19+$E19+$CE19+$CT19+$DJ19+$DX19+$EM19+$FB19</f>
        <v>271.26666666666654</v>
      </c>
      <c r="FC68" s="43">
        <f>$BQ19+$BB19+$AL19+$V19+$F19+$CF19+$CU19+$DJ19+$DY19+$EN19+$FC19</f>
        <v>766.5</v>
      </c>
      <c r="FD68" s="106">
        <f>$BR19+$BC19+$AM19+$W19+$G19+$CG19+$CV19+$DK19+$DZ19+$EO19+$FD19</f>
        <v>3521</v>
      </c>
      <c r="FE68" s="785">
        <f>$BS19+$BD19+$AN19+$X19+$H19+$CH19+$CW19+$DL19+$EA19+$EP19+$FE19</f>
        <v>0</v>
      </c>
      <c r="FF68" s="1016">
        <f>$BT19+$BE19+$AO19+$Y19+$I19+$CI19+$CX19+$DM19+$EB19+$EQ19+$FF19</f>
        <v>827603.26666666649</v>
      </c>
      <c r="FG68" s="930">
        <f t="shared" si="67"/>
        <v>4.2364302682695509E-3</v>
      </c>
      <c r="FH68" s="930">
        <f t="shared" si="64"/>
        <v>0.99576356973173041</v>
      </c>
      <c r="FI68" s="990">
        <f>$BW19+$BH19+$AS19+$AC19+$M19+$CL19+$DA19+$DP19+$EE19+$ET19+$FI19</f>
        <v>835440</v>
      </c>
      <c r="FJ68" s="990"/>
      <c r="FK68" s="1020">
        <f>$BY19+$BJ19+$AU19+$AE19+$O19+$CN19+$DC19+$DR19+$EG19+$EV19+$FK19</f>
        <v>7836.73333333341</v>
      </c>
      <c r="FL68" s="1019"/>
      <c r="FM68" s="927"/>
      <c r="FN68" s="910">
        <v>12</v>
      </c>
      <c r="FO68" s="876" t="s">
        <v>157</v>
      </c>
      <c r="FP68" s="990">
        <f>$BO19+$AZ19+$AJ19+$T19+$D19+$CD19+$CS19+$DH19+$DW19+$EL19+$FA19+$FP19</f>
        <v>904381.61666666658</v>
      </c>
      <c r="FQ68" s="990">
        <f>$BP19+$BA19+$AK19+$U19+$E19+$CE19+$CT19+DI19+$DX19+$EM19+$FB19+$FQ19</f>
        <v>271.26666666666654</v>
      </c>
      <c r="FR68" s="43">
        <f>$BQ19+$BB19+$AL19+$V19+$F19+$CF19+$CU19+$DJ19+$DY19+$EN19+$FC19+$FR19</f>
        <v>766.5</v>
      </c>
      <c r="FS68" s="106">
        <f>$BR19+$BC19+$AM19+$W19+$G19+$CG19+$CV19+$DK19+$DZ19+$EO19+$FD19+$FS19</f>
        <v>3521</v>
      </c>
      <c r="FT68" s="785">
        <f>$BS19+$BD19+$AN19+$X19+$H19+$CH19+$CW19+$DL19+$EA19+$EP19+$FE19+$FT19</f>
        <v>0</v>
      </c>
      <c r="FU68" s="1016">
        <f>$BT19+$BE19+$AO19+$Y19+$I19+$CI19+$CX19+$DM19+$EB19+$EQ19+$FF19+$FU19</f>
        <v>901898.38333333319</v>
      </c>
      <c r="FV68" s="930">
        <f t="shared" si="65"/>
        <v>3.888805635060865E-3</v>
      </c>
      <c r="FW68" s="930">
        <f t="shared" si="66"/>
        <v>0.99611119436493911</v>
      </c>
      <c r="FX68" s="990">
        <f>$BW19+$BH19+$AS19+$AC19+$M19+$CL19+$DA19+$DP19+$EE19+$ET19+$FI19+$FX19</f>
        <v>908475</v>
      </c>
      <c r="FY68" s="990"/>
      <c r="FZ68" s="1020">
        <f>$BY19+$BJ19+$AU19+$AE19+$O19+$CN19+$DC19+$DR19+$EG19+$EV19+$FK19+$FZ19</f>
        <v>6576.6166666667414</v>
      </c>
      <c r="GA68" s="1019"/>
    </row>
    <row r="69" spans="1:183">
      <c r="A69" s="906"/>
      <c r="B69" s="912"/>
      <c r="C69" s="876"/>
      <c r="D69" s="990"/>
      <c r="E69" s="990"/>
      <c r="F69" s="59"/>
      <c r="G69" s="106"/>
      <c r="H69" s="785"/>
      <c r="I69" s="1016"/>
      <c r="J69" s="1017"/>
      <c r="K69" s="930"/>
      <c r="L69" s="930"/>
      <c r="M69" s="990"/>
      <c r="N69" s="990"/>
      <c r="O69" s="1018"/>
      <c r="P69" s="1019"/>
      <c r="Q69" s="909"/>
      <c r="R69" s="910"/>
      <c r="S69" s="876"/>
      <c r="T69" s="990"/>
      <c r="U69" s="990"/>
      <c r="V69" s="59"/>
      <c r="W69" s="106"/>
      <c r="X69" s="785"/>
      <c r="Y69" s="1016"/>
      <c r="Z69" s="1017"/>
      <c r="AA69" s="930"/>
      <c r="AB69" s="930"/>
      <c r="AC69" s="990"/>
      <c r="AD69" s="990"/>
      <c r="AE69" s="1018"/>
      <c r="AF69" s="1019"/>
      <c r="AG69" s="911"/>
      <c r="AH69" s="912"/>
      <c r="AI69" s="876"/>
      <c r="AJ69" s="990"/>
      <c r="AK69" s="990"/>
      <c r="AL69" s="59"/>
      <c r="AM69" s="106"/>
      <c r="AN69" s="785"/>
      <c r="AO69" s="1016"/>
      <c r="AP69" s="1017"/>
      <c r="AQ69" s="930"/>
      <c r="AR69" s="930"/>
      <c r="AS69" s="990"/>
      <c r="AT69" s="990"/>
      <c r="AU69" s="1018"/>
      <c r="AV69" s="1019"/>
      <c r="AW69" s="913"/>
      <c r="AX69" s="912"/>
      <c r="AY69" s="876"/>
      <c r="AZ69" s="990"/>
      <c r="BA69" s="990"/>
      <c r="BB69" s="59"/>
      <c r="BC69" s="106"/>
      <c r="BD69" s="785"/>
      <c r="BE69" s="1016"/>
      <c r="BF69" s="930"/>
      <c r="BG69" s="930"/>
      <c r="BH69" s="990"/>
      <c r="BI69" s="990"/>
      <c r="BJ69" s="1018"/>
      <c r="BK69" s="1019"/>
      <c r="BL69" s="914"/>
      <c r="BM69" s="910"/>
      <c r="BN69" s="876"/>
      <c r="BO69" s="990"/>
      <c r="BP69" s="990"/>
      <c r="BQ69" s="43"/>
      <c r="BR69" s="106"/>
      <c r="BS69" s="785"/>
      <c r="BT69" s="1016"/>
      <c r="BU69" s="930"/>
      <c r="BV69" s="930"/>
      <c r="BW69" s="990"/>
      <c r="BX69" s="990"/>
      <c r="BY69" s="1018"/>
      <c r="BZ69" s="1019"/>
      <c r="CA69" s="915"/>
      <c r="CB69" s="912"/>
      <c r="CC69" s="876"/>
      <c r="CD69" s="990"/>
      <c r="CE69" s="990"/>
      <c r="CF69" s="43"/>
      <c r="CG69" s="106"/>
      <c r="CH69" s="785"/>
      <c r="CI69" s="1016"/>
      <c r="CJ69" s="930"/>
      <c r="CK69" s="930"/>
      <c r="CL69" s="990"/>
      <c r="CM69" s="990"/>
      <c r="CN69" s="1018"/>
      <c r="CO69" s="1019"/>
      <c r="CP69" s="919"/>
      <c r="CQ69" s="912"/>
      <c r="CR69" s="876"/>
      <c r="CS69" s="990"/>
      <c r="CT69" s="990"/>
      <c r="CU69" s="43"/>
      <c r="CV69" s="106"/>
      <c r="CW69" s="785"/>
      <c r="CX69" s="1016"/>
      <c r="CY69" s="930"/>
      <c r="CZ69" s="930"/>
      <c r="DA69" s="990"/>
      <c r="DB69" s="990"/>
      <c r="DC69" s="1018"/>
      <c r="DD69" s="1019"/>
      <c r="DE69" s="920"/>
      <c r="DF69" s="910"/>
      <c r="DG69" s="876"/>
      <c r="DH69" s="990"/>
      <c r="DI69" s="990"/>
      <c r="DJ69" s="43"/>
      <c r="DK69" s="106"/>
      <c r="DL69" s="785"/>
      <c r="DM69" s="1016"/>
      <c r="DN69" s="930"/>
      <c r="DO69" s="930"/>
      <c r="DP69" s="990"/>
      <c r="DQ69" s="990"/>
      <c r="DR69" s="1020"/>
      <c r="DS69" s="1019"/>
      <c r="DT69" s="921"/>
      <c r="DU69" s="910"/>
      <c r="DV69" s="876"/>
      <c r="DW69" s="990"/>
      <c r="DX69" s="990"/>
      <c r="DY69" s="43"/>
      <c r="DZ69" s="106"/>
      <c r="EA69" s="785"/>
      <c r="EB69" s="1016"/>
      <c r="EC69" s="930"/>
      <c r="ED69" s="930"/>
      <c r="EE69" s="990"/>
      <c r="EF69" s="990"/>
      <c r="EG69" s="1020"/>
      <c r="EH69" s="1019"/>
      <c r="EI69" s="941"/>
      <c r="EJ69" s="912"/>
      <c r="EK69" s="876"/>
      <c r="EL69" s="990"/>
      <c r="EM69" s="990"/>
      <c r="EN69" s="43"/>
      <c r="EO69" s="106"/>
      <c r="EP69" s="785"/>
      <c r="EQ69" s="1016"/>
      <c r="ER69" s="930"/>
      <c r="ES69" s="930"/>
      <c r="ET69" s="990"/>
      <c r="EU69" s="990"/>
      <c r="EV69" s="1020"/>
      <c r="EW69" s="1019"/>
      <c r="EX69" s="925"/>
      <c r="EY69" s="910"/>
      <c r="EZ69" s="876"/>
      <c r="FA69" s="990"/>
      <c r="FB69" s="990"/>
      <c r="FC69" s="43"/>
      <c r="FD69" s="106"/>
      <c r="FE69" s="785"/>
      <c r="FF69" s="1016"/>
      <c r="FG69" s="930"/>
      <c r="FH69" s="930"/>
      <c r="FI69" s="990"/>
      <c r="FJ69" s="990"/>
      <c r="FK69" s="1020"/>
      <c r="FL69" s="1019"/>
      <c r="FM69" s="927"/>
      <c r="FN69" s="910"/>
      <c r="FO69" s="876"/>
      <c r="FP69" s="990"/>
      <c r="FQ69" s="990"/>
      <c r="FR69" s="43"/>
      <c r="FS69" s="106"/>
      <c r="FT69" s="785"/>
      <c r="FU69" s="1016"/>
      <c r="FV69" s="930"/>
      <c r="FW69" s="930"/>
      <c r="FX69" s="990"/>
      <c r="FY69" s="990"/>
      <c r="FZ69" s="1020"/>
      <c r="GA69" s="1019"/>
    </row>
    <row r="70" spans="1:183">
      <c r="A70" s="906"/>
      <c r="B70" s="912">
        <v>13</v>
      </c>
      <c r="C70" s="1" t="s">
        <v>158</v>
      </c>
      <c r="D70" s="22">
        <f>SUM($D$21:D21)</f>
        <v>143091.38333333333</v>
      </c>
      <c r="E70" s="22">
        <f>SUM(E21:E21)</f>
        <v>1828.0666666666666</v>
      </c>
      <c r="F70" s="56">
        <f t="shared" ref="F70:J73" si="95">F21</f>
        <v>347.01666666666665</v>
      </c>
      <c r="G70" s="38">
        <f t="shared" si="95"/>
        <v>1228</v>
      </c>
      <c r="H70" s="25">
        <f t="shared" si="95"/>
        <v>0</v>
      </c>
      <c r="I70" s="21">
        <f t="shared" si="95"/>
        <v>144038.46666666667</v>
      </c>
      <c r="J70" s="69">
        <f t="shared" si="95"/>
        <v>135276</v>
      </c>
      <c r="K70" s="33">
        <f>(G70-H70)/(D70+E70+F70)</f>
        <v>8.4534306380412635E-3</v>
      </c>
      <c r="L70" s="33">
        <f>1-((G70-H70)/(D70+E70+F70))</f>
        <v>0.99154656936195873</v>
      </c>
      <c r="M70" s="22">
        <f t="shared" ref="M70:N73" si="96">M21</f>
        <v>144116</v>
      </c>
      <c r="N70" s="22">
        <f t="shared" si="96"/>
        <v>1272</v>
      </c>
      <c r="O70" s="34">
        <f>SUM(O71:O73)</f>
        <v>77.533333333336486</v>
      </c>
      <c r="P70" s="35">
        <f>M21+N21-I21</f>
        <v>1349.5333333333256</v>
      </c>
      <c r="Q70" s="909"/>
      <c r="R70" s="910">
        <v>13</v>
      </c>
      <c r="S70" s="1" t="s">
        <v>158</v>
      </c>
      <c r="T70" s="22">
        <f t="shared" ref="T70:X73" si="97">T21+D21</f>
        <v>286970.81666666665</v>
      </c>
      <c r="U70" s="22">
        <f t="shared" si="97"/>
        <v>3621.583333333333</v>
      </c>
      <c r="V70" s="56">
        <f t="shared" si="97"/>
        <v>347.01666666666665</v>
      </c>
      <c r="W70" s="38">
        <f t="shared" si="97"/>
        <v>2592</v>
      </c>
      <c r="X70" s="25">
        <f t="shared" si="97"/>
        <v>0</v>
      </c>
      <c r="Y70" s="21">
        <f t="shared" ref="Y70:Z73" si="98">Y21+I21</f>
        <v>288347.41666666669</v>
      </c>
      <c r="Z70" s="69">
        <f t="shared" si="98"/>
        <v>279500</v>
      </c>
      <c r="AA70" s="33">
        <f t="shared" si="41"/>
        <v>8.9090712757209194E-3</v>
      </c>
      <c r="AB70" s="33">
        <f t="shared" si="42"/>
        <v>0.99109092872427906</v>
      </c>
      <c r="AC70" s="22">
        <f t="shared" ref="AC70:AD73" si="99">AC21+M21</f>
        <v>288969</v>
      </c>
      <c r="AD70" s="22">
        <f t="shared" si="99"/>
        <v>2544</v>
      </c>
      <c r="AE70" s="34">
        <f>SUM(AE71:AE73)</f>
        <v>621.5833333333303</v>
      </c>
      <c r="AF70" s="35">
        <f>(AC21+AD21-Y21)+(M21+N21-I21)</f>
        <v>3165.5833333333139</v>
      </c>
      <c r="AG70" s="911"/>
      <c r="AH70" s="912">
        <v>13</v>
      </c>
      <c r="AI70" s="1" t="s">
        <v>158</v>
      </c>
      <c r="AJ70" s="22">
        <f t="shared" ref="AJ70:AN73" si="100">AJ21+T21+D21</f>
        <v>422917.7333333334</v>
      </c>
      <c r="AK70" s="22">
        <f t="shared" si="100"/>
        <v>5134.9999999999991</v>
      </c>
      <c r="AL70" s="56">
        <f t="shared" si="100"/>
        <v>347.01666666666665</v>
      </c>
      <c r="AM70" s="38">
        <f t="shared" si="100"/>
        <v>3998</v>
      </c>
      <c r="AN70" s="25">
        <f t="shared" si="100"/>
        <v>0</v>
      </c>
      <c r="AO70" s="21">
        <f t="shared" ref="AO70:AP73" si="101">AO21+Y21+I21</f>
        <v>424401.75</v>
      </c>
      <c r="AP70" s="69">
        <f t="shared" si="101"/>
        <v>279500</v>
      </c>
      <c r="AQ70" s="33">
        <f t="shared" si="46"/>
        <v>9.3324050725986634E-3</v>
      </c>
      <c r="AR70" s="33">
        <f t="shared" si="47"/>
        <v>0.99066759492740131</v>
      </c>
      <c r="AS70" s="22">
        <f t="shared" ref="AS70:AT73" si="102">AS21+AC21+M21</f>
        <v>425524</v>
      </c>
      <c r="AT70" s="22">
        <f t="shared" si="102"/>
        <v>3816</v>
      </c>
      <c r="AU70" s="34">
        <f>SUM(AU71:AU73)</f>
        <v>1122.2499999999891</v>
      </c>
      <c r="AV70" s="35">
        <f>AS21+AT21-AO21+AC21+AD21-Y21+M21+N21-I21</f>
        <v>4938.2499999999709</v>
      </c>
      <c r="AW70" s="913"/>
      <c r="AX70" s="912">
        <v>13</v>
      </c>
      <c r="AY70" s="1" t="s">
        <v>158</v>
      </c>
      <c r="AZ70" s="22">
        <f t="shared" ref="AZ70:BE73" si="103">AZ21+AJ21+T21+D21</f>
        <v>568625.30000000005</v>
      </c>
      <c r="BA70" s="22">
        <f t="shared" si="103"/>
        <v>5538.2166666666662</v>
      </c>
      <c r="BB70" s="56">
        <f t="shared" si="103"/>
        <v>608.23333333333335</v>
      </c>
      <c r="BC70" s="38">
        <f t="shared" si="103"/>
        <v>5264</v>
      </c>
      <c r="BD70" s="25">
        <f t="shared" si="103"/>
        <v>0</v>
      </c>
      <c r="BE70" s="21">
        <f t="shared" si="103"/>
        <v>569507.75</v>
      </c>
      <c r="BF70" s="33">
        <f t="shared" si="50"/>
        <v>9.1584181024902487E-3</v>
      </c>
      <c r="BG70" s="33">
        <f t="shared" si="51"/>
        <v>0.9908415818975097</v>
      </c>
      <c r="BH70" s="22">
        <f>BH21+AS21+AC21+M21</f>
        <v>571880</v>
      </c>
      <c r="BI70" s="22">
        <f>BI21+AT21+AD21+N21</f>
        <v>5088</v>
      </c>
      <c r="BJ70" s="34">
        <f>SUM(BJ71:BJ73)</f>
        <v>2372.2499999999891</v>
      </c>
      <c r="BK70" s="35">
        <f>M21+N21-I21+BH21+BI21-BE21+AS21+AT21-AO21+AC21+AD21-Y21</f>
        <v>7460.2499999999709</v>
      </c>
      <c r="BL70" s="914"/>
      <c r="BM70" s="910">
        <v>13</v>
      </c>
      <c r="BN70" s="1" t="s">
        <v>158</v>
      </c>
      <c r="BO70" s="22">
        <f>$BO21+$AZ21+$AJ21+$T21+$D21</f>
        <v>705342.81666666665</v>
      </c>
      <c r="BP70" s="22">
        <f>$BP21+$BA21+$AK21+$U21+$E21</f>
        <v>5538.2166666666662</v>
      </c>
      <c r="BQ70" s="40">
        <f>$BQ21+$BB21+$AL21+$V21+$F21</f>
        <v>608.23333333333335</v>
      </c>
      <c r="BR70" s="38">
        <f>$BR21+$BC21+$AM21+$W21+$G21</f>
        <v>5264</v>
      </c>
      <c r="BS70" s="25">
        <f>$BS21+$BD21+$AN21+$X21+$H21</f>
        <v>0</v>
      </c>
      <c r="BT70" s="21">
        <f>$BT21+$BE21+$AO21+$Y21+$I21</f>
        <v>706225.26666666672</v>
      </c>
      <c r="BU70" s="33">
        <f t="shared" si="52"/>
        <v>7.3985655815468386E-3</v>
      </c>
      <c r="BV70" s="33">
        <f t="shared" si="53"/>
        <v>0.99260143441845317</v>
      </c>
      <c r="BW70" s="22">
        <f>$BW21+$BH21+$AS21+$AC21+$M21</f>
        <v>709281</v>
      </c>
      <c r="BX70" s="22">
        <f>$BX21+$BI21+$AT21+$AD21+$N21</f>
        <v>6360</v>
      </c>
      <c r="BY70" s="34">
        <f>SUM(BY71:BY73)</f>
        <v>3055.7333333333027</v>
      </c>
      <c r="BZ70" s="35">
        <f>$AC21+$AD21-$Y21+$BW21+$BX21-$BT21+$BH21+$BI21-$BE21+$AS21+$AT21-$AO21+$M21+$N21-$I21</f>
        <v>9415.733333333279</v>
      </c>
      <c r="CA70" s="915"/>
      <c r="CB70" s="912">
        <v>13</v>
      </c>
      <c r="CC70" s="1" t="s">
        <v>158</v>
      </c>
      <c r="CD70" s="22">
        <f>$BO21+$AZ21+$AJ21+$T21+$D21+$CD21</f>
        <v>846411.3666666667</v>
      </c>
      <c r="CE70" s="22">
        <f>$BP21+$BA21+$AK21+$U21+$E21+$CE21</f>
        <v>5538.2166666666662</v>
      </c>
      <c r="CF70" s="40">
        <f>$BQ21+$BB21+$AL21+$V21+$F21+$CF21</f>
        <v>608.23333333333335</v>
      </c>
      <c r="CG70" s="38">
        <f>$BR21+$BC21+$AM21+$W21+$G21+$CG21</f>
        <v>5264</v>
      </c>
      <c r="CH70" s="25">
        <f>$BS21+$BD21+$AN21+$X21+$H21+$CH21</f>
        <v>0</v>
      </c>
      <c r="CI70" s="21">
        <f>$BT21+$BE21+$AO21+$Y21+$I21+$CI21</f>
        <v>847293.81666666665</v>
      </c>
      <c r="CJ70" s="33">
        <f t="shared" si="54"/>
        <v>6.1743613126218283E-3</v>
      </c>
      <c r="CK70" s="33">
        <f t="shared" si="55"/>
        <v>0.99382563868737817</v>
      </c>
      <c r="CL70" s="22">
        <f>$BW21+$BH21+$AS21+$AC21+$M21+$CL21</f>
        <v>851101.3</v>
      </c>
      <c r="CM70" s="22">
        <f>$BX21+$BI21+$AT21+$AD21+$N21+$CM21</f>
        <v>7632</v>
      </c>
      <c r="CN70" s="34">
        <f>SUM(CN71:CN73)</f>
        <v>3807.4833333333027</v>
      </c>
      <c r="CO70" s="35">
        <f>$AC21+$AD21-$Y21+$BW21+$BX21-$BT21+$BH21+$BI21-$BE21+$AS21+$AT21-$AO21+$M21+$N21-$I21+$CL21+$CM21-$CI21</f>
        <v>11439.483333333279</v>
      </c>
      <c r="CP70" s="919"/>
      <c r="CQ70" s="912">
        <v>13</v>
      </c>
      <c r="CR70" s="1" t="s">
        <v>158</v>
      </c>
      <c r="CS70" s="22">
        <f>$BO21+$AZ21+$AJ21+$T21+$D21+$CD21+$CS21</f>
        <v>989736.60000000009</v>
      </c>
      <c r="CT70" s="22">
        <f>$BP21+$BA21+$AK21+$U21+$E21+$CE21+$CT21</f>
        <v>5538.2166666666662</v>
      </c>
      <c r="CU70" s="40">
        <f>$BQ21+$BB21+$AL21+$V21+$F21+$CF21+$CU21</f>
        <v>608.23333333333335</v>
      </c>
      <c r="CV70" s="38">
        <f>$BR21+$BC21+$AM21+$W21+$G21+$CG21+$CV21</f>
        <v>5264</v>
      </c>
      <c r="CW70" s="25">
        <f>$BS21+$BD21+$AN21+$X21+$H21+$CH21+$CW21</f>
        <v>0</v>
      </c>
      <c r="CX70" s="21">
        <f>$BT21+$BE21+$AO21+$Y21+$I21+$CI21+$CX21</f>
        <v>990619.05</v>
      </c>
      <c r="CY70" s="33">
        <f t="shared" si="56"/>
        <v>5.2857612146325816E-3</v>
      </c>
      <c r="CZ70" s="33">
        <f t="shared" si="57"/>
        <v>0.99471423878536747</v>
      </c>
      <c r="DA70" s="22">
        <f>$BW21+$BH21+$AS21+$AC21+$M21+$CL21+$DA21</f>
        <v>995161.9</v>
      </c>
      <c r="DB70" s="22">
        <f>$BX21+$BI21+$AT21+$AD21+$N21+$CM21+$DB21</f>
        <v>8904</v>
      </c>
      <c r="DC70" s="34">
        <f>SUM(DC71:DC73)</f>
        <v>4542.8499999999531</v>
      </c>
      <c r="DD70" s="35">
        <f>$AC21+$AD21-$Y21+$BW21+$BX21-$BT21+$BH21+$BI21-$BE21+$AS21+$AT21-$AO21+$M21+$N21-$I21+$CL21+$CM21-$CI21+$DA21+$DB21-$CX21</f>
        <v>13446.849999999919</v>
      </c>
      <c r="DE70" s="920"/>
      <c r="DF70" s="910">
        <v>13</v>
      </c>
      <c r="DG70" s="1" t="s">
        <v>158</v>
      </c>
      <c r="DH70" s="22">
        <f>$BO21+$AZ21+$AJ21+$T21+$D21+$CD21+$CS21+$DH21</f>
        <v>1119856.9333333333</v>
      </c>
      <c r="DI70" s="22">
        <f>$BP21+$BA21+$AK21+$U21+$E21+$CE21+$CT21+$DJ21</f>
        <v>5538.2166666666662</v>
      </c>
      <c r="DJ70" s="40">
        <f>$BQ21+$BB21+$AL21+$V21+$F21+$CF21+$CU21+$DJ21</f>
        <v>608.23333333333335</v>
      </c>
      <c r="DK70" s="38">
        <f>$BR21+$BC21+$AM21+$W21+$G21+$CG21+$CV21+$DK21</f>
        <v>5264</v>
      </c>
      <c r="DL70" s="25">
        <f>$BS21+$BD21+$AN21+$X21+$H21+$CH21+$CW21+DL21</f>
        <v>0</v>
      </c>
      <c r="DM70" s="21">
        <f>$BT21+$BE21+$AO21+$Y21+$I21+$CI21+$CX21+DM21</f>
        <v>1120739.3833333333</v>
      </c>
      <c r="DN70" s="33">
        <f t="shared" si="58"/>
        <v>4.6749415480589959E-3</v>
      </c>
      <c r="DO70" s="33">
        <f t="shared" si="59"/>
        <v>0.99532505845194097</v>
      </c>
      <c r="DP70" s="22">
        <f>$BW21+$BH21+$AS21+$AC21+$M21+$CL21+$DA21+$DP21</f>
        <v>1128799.8999999999</v>
      </c>
      <c r="DQ70" s="22">
        <f>$BX21+$BI21+$AT21+$AD21+$N21+$CM21+$DB21+$DQ21</f>
        <v>10176</v>
      </c>
      <c r="DR70" s="34">
        <f>SUM(DR71:DR73)</f>
        <v>8060.5166666665937</v>
      </c>
      <c r="DS70" s="35">
        <f>$AC21+$AD21-$Y21+$BW21+$BX21-$BT21+$BH21+$BI21-$BE21+$AS21+$AT21-$AO21+$M21+$N21-$I21+$CL21+$CM21-$CI21+$DA21+$DB21-$CX21+$DP21+$DQ21-$DM21</f>
        <v>18236.516666666561</v>
      </c>
      <c r="DT70" s="921"/>
      <c r="DU70" s="910">
        <v>13</v>
      </c>
      <c r="DV70" s="1" t="s">
        <v>158</v>
      </c>
      <c r="DW70" s="22">
        <f>$BO21+$AZ21+$AJ21+$T21+$D21+$CD21+$CS21+$DH21+$DW21</f>
        <v>1261729.3</v>
      </c>
      <c r="DX70" s="22">
        <f>$BP21+$BA21+$AK21+$U21+$E21+$CE21+$CT21+$DJ21+$DX21</f>
        <v>5538.2166666666662</v>
      </c>
      <c r="DY70" s="40">
        <f>$BQ21+$BB21+$AL21+$V21+$F21+$CF21+$CU21+$DJ21+$DY21</f>
        <v>608.23333333333335</v>
      </c>
      <c r="DZ70" s="38">
        <f>$BR21+$BC21+$AM21+$W21+$G21+$CG21+$CV21+$DK21+$DZ21</f>
        <v>5264</v>
      </c>
      <c r="EA70" s="785">
        <f>$BS21+$BD21+$AN21+$X21+$H21+$CH21+$CW21+$DL21+$EA21</f>
        <v>0</v>
      </c>
      <c r="EB70" s="21">
        <f>$BT21+$BE21+$AO21+$Y21+$I21+$CI21+$CX21+$DM21+$EB21</f>
        <v>1262611.75</v>
      </c>
      <c r="EC70" s="33">
        <f t="shared" si="60"/>
        <v>4.1518263915056343E-3</v>
      </c>
      <c r="ED70" s="33">
        <f t="shared" si="61"/>
        <v>0.99584817360849431</v>
      </c>
      <c r="EE70" s="22">
        <f>$BW21+$BH21+$AS21+$AC21+$M21+$CL21+$DA21+$DP21+$EE21</f>
        <v>1268441.2</v>
      </c>
      <c r="EF70" s="22">
        <f>$BX21+$BI21+$AT21+$AD21+$N21+$CM21+$DB21+$DQ21+$EF21</f>
        <v>11448</v>
      </c>
      <c r="EG70" s="34">
        <f>SUM(EG71:EG73)</f>
        <v>5829.449999999928</v>
      </c>
      <c r="EH70" s="35">
        <f>$AC21+$AD21-$Y21+$BW21+$BX21-$BT21+$BH21+$BI21-$BE21+$AS21+$AT21-$AO21+$M21+$N21-$I21+$CL21+$CM21-$CI21+$DA21+$DB21-$CX21+$DP21+$DQ21-$DM21+$EE21+$EF21-$EB21</f>
        <v>17277.449999999895</v>
      </c>
      <c r="EI70" s="941"/>
      <c r="EJ70" s="912">
        <v>13</v>
      </c>
      <c r="EK70" s="1" t="s">
        <v>158</v>
      </c>
      <c r="EL70" s="22">
        <f>$BO21+$AZ21+$AJ21+$T21+$D21+$CD21+$CS21+$DH21+$DW21+$EL21</f>
        <v>1402173.4166666667</v>
      </c>
      <c r="EM70" s="22">
        <f>$BP21+$BA21+$AK21+$U21+$E21+$CE21+$CT21+$DJ21+$DX21+$EM21</f>
        <v>5538.2166666666662</v>
      </c>
      <c r="EN70" s="40">
        <f>$BQ21+$BB21+$AL21+$V21+$F21+$CF21+$CU21+$DJ21+$DY21+$EN21</f>
        <v>608.23333333333335</v>
      </c>
      <c r="EO70" s="38">
        <f>$BR21+$BC21+$AM21+$W21+$G21+$CG21+$CV21+$DK21+$DZ21+$EO21</f>
        <v>5264</v>
      </c>
      <c r="EP70" s="785">
        <f>$BS21+$BD21+$AN21+$X21+$H21+$CH21+$CW21+$DL21+$EA21+$EP21</f>
        <v>0</v>
      </c>
      <c r="EQ70" s="21">
        <f>$BT21+$BE21+$AO21+$Y21+$I21+$CI21+$CX21+$DM21+$EB21+$EQ21</f>
        <v>1403055.8666666667</v>
      </c>
      <c r="ER70" s="33">
        <f t="shared" si="62"/>
        <v>3.7377872204979192E-3</v>
      </c>
      <c r="ES70" s="33">
        <f t="shared" si="63"/>
        <v>0.99626221277950211</v>
      </c>
      <c r="ET70" s="22">
        <f>$BW21+$BH21+$AS21+$AC21+$M21+$CL21+$DA21+$DP21+$EE21+$ET21</f>
        <v>1409640.7999999998</v>
      </c>
      <c r="EU70" s="22">
        <f>$BX21+$BI21+$AT21+$AD21+$N21+$CM21+$DB21+$DQ21+$EF21+$EU21</f>
        <v>12720</v>
      </c>
      <c r="EV70" s="34">
        <f>SUM(EV71:EV73)</f>
        <v>6584.9333333332252</v>
      </c>
      <c r="EW70" s="35">
        <f>$AC21+$AD21-$Y21+$BW21+$BX21-$BT21+$BH21+$BI21-$BE21+$AS21+$AT21-$AO21+$M21+$N21-$I21+$CL21+$CM21-$CI21+$DA21+$DB21-$CX21+$DP21+$DQ21-$DM21+$EE21+$EF21-$EB21+$ET21+$EU21-$EQ21</f>
        <v>19304.933333333203</v>
      </c>
      <c r="EX70" s="925"/>
      <c r="EY70" s="910">
        <v>13</v>
      </c>
      <c r="EZ70" s="1" t="s">
        <v>158</v>
      </c>
      <c r="FA70" s="22">
        <f>$BO21+$AZ21+$AJ21+$T21+$D21+$CD21+$CS21+$DH21+$DW21+$EL21+$FA21</f>
        <v>1544122.85</v>
      </c>
      <c r="FB70" s="22">
        <f>$BP21+$BA21+$AK21+$U21+$E21+$CE21+$CT21+$DJ21+$DX21+$EM21+$FB21</f>
        <v>5538.2166666666662</v>
      </c>
      <c r="FC70" s="40">
        <f>$BQ21+$BB21+$AL21+$V21+$F21+$CF21+$CU21+$DJ21+$DY21+$EN21+$FC21</f>
        <v>608.23333333333335</v>
      </c>
      <c r="FD70" s="38">
        <f>$BR21+$BC21+$AM21+$W21+$G21+$CG21+$CV21+$DK21+$DZ21+$EO21+$FD21</f>
        <v>5264</v>
      </c>
      <c r="FE70" s="785">
        <f>$BS21+$BD21+$AN21+$X21+$H21+$CH21+$CW21+$DL21+$EA21+$EP21+$FE21</f>
        <v>0</v>
      </c>
      <c r="FF70" s="21">
        <f>$BT21+$BE21+$AO21+$Y21+$I21+$CI21+$CX21+$DM21+$EB21+$EQ21+$FF21</f>
        <v>1545005.3</v>
      </c>
      <c r="FG70" s="33">
        <f t="shared" si="67"/>
        <v>3.3955390847254731E-3</v>
      </c>
      <c r="FH70" s="33">
        <f t="shared" si="64"/>
        <v>0.99660446091527455</v>
      </c>
      <c r="FI70" s="22">
        <f>$BW21+$BH21+$AS21+$AC21+$M21+$CL21+$DA21+$DP21+$EE21+$ET21+$FI21</f>
        <v>1555169.0999999999</v>
      </c>
      <c r="FJ70" s="22">
        <f>$BX21+$BI21+$AT21+$AD21+$N21+$CM21+$DB21+$DQ21+$EF21+$EU21+$FJ21</f>
        <v>13992</v>
      </c>
      <c r="FK70" s="34">
        <f>SUM(FK71:FK73)</f>
        <v>10163.799999999879</v>
      </c>
      <c r="FL70" s="35">
        <f>$AC21+$AD21-$Y21+$BW21+$BX21-$BT21+$BH21+$BI21-$BE21+$AS21+$AT21-$AO21+$M21+$N21-$I21+$CL21+$CM21-$CI21+$DA21+$DB21-$CX21+$DP21+$DQ21-$DM21+$EE21+$EF21-$EB21+$ET21+$EU21-$EQ21+$FI21+$FJ21-$FF21</f>
        <v>24155.799999999843</v>
      </c>
      <c r="FM70" s="927"/>
      <c r="FN70" s="910">
        <v>13</v>
      </c>
      <c r="FO70" s="1" t="s">
        <v>158</v>
      </c>
      <c r="FP70" s="22">
        <f>$BO21+$AZ21+$AJ21+$T21+$D21+$CD21+$CS21+$DH21+$DW21+$EL21+$FA21+$FP21</f>
        <v>1682294.5166666668</v>
      </c>
      <c r="FQ70" s="22">
        <f>$BP21+$BA21+$AK21+$U21+$E21+$CE21+$CT21+$DI21+$DX21+$EM21+$FB21+$FQ21</f>
        <v>5538.2166666666662</v>
      </c>
      <c r="FR70" s="40">
        <f>$BQ21+$BB21+$AL21+$V21+$F21+$CF21+$CU21+$DJ21+$DY21+$EN21+$FC21+$FR21</f>
        <v>608.23333333333335</v>
      </c>
      <c r="FS70" s="38">
        <f>$BR21+$BC21+$AM21+$W21+$G21+$CG21+$CV21+$DK21+$DZ21+$EO21+$FD21+$FS21</f>
        <v>5264</v>
      </c>
      <c r="FT70" s="785">
        <f>$BS21+$BD21+$AN21+$X21+$H21+$CH21+$CW21+$DL21+$EA21+$EP21+$FE21+$FT21</f>
        <v>0</v>
      </c>
      <c r="FU70" s="21">
        <f>$BT21+$BE21+$AO21+$Y21+$I21+$CI21+$CX21+$DM21+$EB21+$EQ21+$FF21+$FU21</f>
        <v>1683176.9666666668</v>
      </c>
      <c r="FV70" s="33">
        <f t="shared" si="65"/>
        <v>3.1176689644010647E-3</v>
      </c>
      <c r="FW70" s="33">
        <f t="shared" si="66"/>
        <v>0.99688233103559898</v>
      </c>
      <c r="FX70" s="22">
        <f>$BW21+$BH21+$AS21+$AC21+$M21+$CL21+$DA21+$DP21+$EE21+$ET21+$FI21+$FX21</f>
        <v>1691157.4</v>
      </c>
      <c r="FY70" s="22">
        <f>$BX21+$BI21+$AT21+$AD21+$N21+$CM21+$DB21+$DQ21+$EF21+$EU21+$FJ21+$FY21</f>
        <v>15264</v>
      </c>
      <c r="FZ70" s="34">
        <f>SUM(FZ71:FZ73)</f>
        <v>7980.4333333332179</v>
      </c>
      <c r="GA70" s="35">
        <f>$AC21+$AD21-$Y21+$BW21+$BX21-$BT21+$BH21+$BI21-$BE21+$AS21+$AT21-$AO21+$M21+$N21-$I21+$CL21+$CM21-$CI21+$DA21+$DB21-$CX21+$DP21+$DQ21-$DM21+$EE21+$EF21-$EB21+$ET21+$EU21-$EQ21+$FI21+$FJ21-$FF21+$FX21+$FY21-$FU21</f>
        <v>23244.433333333174</v>
      </c>
    </row>
    <row r="71" spans="1:183">
      <c r="A71" s="906"/>
      <c r="B71" s="912">
        <v>14</v>
      </c>
      <c r="C71" s="876" t="s">
        <v>159</v>
      </c>
      <c r="D71" s="990">
        <f>SUM($D$22:D22)</f>
        <v>11709.133333333337</v>
      </c>
      <c r="E71" s="990">
        <f>SUM(E22:E22)</f>
        <v>62.1</v>
      </c>
      <c r="F71" s="59">
        <f t="shared" si="95"/>
        <v>210.7</v>
      </c>
      <c r="G71" s="106">
        <f t="shared" si="95"/>
        <v>151</v>
      </c>
      <c r="H71" s="785">
        <f t="shared" si="95"/>
        <v>0</v>
      </c>
      <c r="I71" s="1016">
        <f t="shared" si="95"/>
        <v>11830.933333333338</v>
      </c>
      <c r="J71" s="1017">
        <f t="shared" si="95"/>
        <v>10330</v>
      </c>
      <c r="K71" s="930">
        <f>(G71-H71)/(D71+E71+F71)</f>
        <v>1.2602306806358456E-2</v>
      </c>
      <c r="L71" s="930">
        <f>1-((G71-H71)/(D71+E71+F71))</f>
        <v>0.98739769319364157</v>
      </c>
      <c r="M71" s="990">
        <f t="shared" si="96"/>
        <v>11720</v>
      </c>
      <c r="N71" s="990">
        <f t="shared" si="96"/>
        <v>0</v>
      </c>
      <c r="O71" s="1018">
        <f>O22</f>
        <v>-110.93333333333794</v>
      </c>
      <c r="P71" s="1019"/>
      <c r="Q71" s="909"/>
      <c r="R71" s="910">
        <v>14</v>
      </c>
      <c r="S71" s="876" t="s">
        <v>159</v>
      </c>
      <c r="T71" s="990">
        <f t="shared" si="97"/>
        <v>23418.266666666674</v>
      </c>
      <c r="U71" s="990">
        <f t="shared" si="97"/>
        <v>119.83333333333336</v>
      </c>
      <c r="V71" s="59">
        <f t="shared" si="97"/>
        <v>210.7</v>
      </c>
      <c r="W71" s="106">
        <f t="shared" si="97"/>
        <v>269</v>
      </c>
      <c r="X71" s="785">
        <f t="shared" si="97"/>
        <v>0</v>
      </c>
      <c r="Y71" s="1016">
        <f t="shared" si="98"/>
        <v>23479.80000000001</v>
      </c>
      <c r="Z71" s="1017">
        <f t="shared" si="98"/>
        <v>22038</v>
      </c>
      <c r="AA71" s="930">
        <f t="shared" si="41"/>
        <v>1.1326888095398502E-2</v>
      </c>
      <c r="AB71" s="930">
        <f t="shared" si="42"/>
        <v>0.9886731119046015</v>
      </c>
      <c r="AC71" s="990">
        <f t="shared" si="99"/>
        <v>23440</v>
      </c>
      <c r="AD71" s="990">
        <f t="shared" si="99"/>
        <v>0</v>
      </c>
      <c r="AE71" s="1018">
        <f>AE22+O22</f>
        <v>-39.800000000008367</v>
      </c>
      <c r="AF71" s="1019"/>
      <c r="AG71" s="911"/>
      <c r="AH71" s="912">
        <v>14</v>
      </c>
      <c r="AI71" s="876" t="s">
        <v>159</v>
      </c>
      <c r="AJ71" s="990">
        <f t="shared" si="100"/>
        <v>34062.933333333342</v>
      </c>
      <c r="AK71" s="990">
        <f t="shared" si="100"/>
        <v>127.33333333333334</v>
      </c>
      <c r="AL71" s="57">
        <f t="shared" si="100"/>
        <v>210.7</v>
      </c>
      <c r="AM71" s="106">
        <f t="shared" si="100"/>
        <v>371</v>
      </c>
      <c r="AN71" s="785">
        <f t="shared" si="100"/>
        <v>0</v>
      </c>
      <c r="AO71" s="1016">
        <f t="shared" si="101"/>
        <v>34029.966666666674</v>
      </c>
      <c r="AP71" s="1017">
        <f t="shared" si="101"/>
        <v>22038</v>
      </c>
      <c r="AQ71" s="930">
        <f t="shared" si="46"/>
        <v>1.078458066585338E-2</v>
      </c>
      <c r="AR71" s="930">
        <f t="shared" si="47"/>
        <v>0.98921541933414658</v>
      </c>
      <c r="AS71" s="990">
        <f t="shared" si="102"/>
        <v>34095</v>
      </c>
      <c r="AT71" s="990">
        <f t="shared" si="102"/>
        <v>0</v>
      </c>
      <c r="AU71" s="1018">
        <f>AU22+AE22+O22</f>
        <v>65.033333333321934</v>
      </c>
      <c r="AV71" s="1019"/>
      <c r="AW71" s="913"/>
      <c r="AX71" s="912">
        <v>14</v>
      </c>
      <c r="AY71" s="876" t="s">
        <v>159</v>
      </c>
      <c r="AZ71" s="990">
        <f t="shared" si="103"/>
        <v>46304.300000000017</v>
      </c>
      <c r="BA71" s="990">
        <f t="shared" si="103"/>
        <v>132.70000000000002</v>
      </c>
      <c r="BB71" s="57">
        <f t="shared" si="103"/>
        <v>210.7</v>
      </c>
      <c r="BC71" s="106">
        <f t="shared" si="103"/>
        <v>466</v>
      </c>
      <c r="BD71" s="785">
        <f t="shared" si="103"/>
        <v>0</v>
      </c>
      <c r="BE71" s="1016">
        <f t="shared" si="103"/>
        <v>46181.700000000012</v>
      </c>
      <c r="BF71" s="930">
        <f t="shared" si="50"/>
        <v>9.9897744154588512E-3</v>
      </c>
      <c r="BG71" s="930">
        <f t="shared" si="51"/>
        <v>0.9900102255845411</v>
      </c>
      <c r="BH71" s="990">
        <f>BH22+AS22+AC22+M22</f>
        <v>46348</v>
      </c>
      <c r="BI71" s="990"/>
      <c r="BJ71" s="1018">
        <f>BJ22+AU22+AE22+O22</f>
        <v>166.29999999998472</v>
      </c>
      <c r="BK71" s="1019"/>
      <c r="BL71" s="914"/>
      <c r="BM71" s="910">
        <v>14</v>
      </c>
      <c r="BN71" s="876" t="s">
        <v>159</v>
      </c>
      <c r="BO71" s="990">
        <f>$BO22+$AZ22+$AJ22+$T22+$D22</f>
        <v>56948.966666666689</v>
      </c>
      <c r="BP71" s="990">
        <f>$BP22+$BA22+$AK22+$U22+$E22</f>
        <v>132.70000000000002</v>
      </c>
      <c r="BQ71" s="41">
        <f>$BQ22+$BB22+$AL22+$V22+$F22</f>
        <v>210.7</v>
      </c>
      <c r="BR71" s="106">
        <f>$BR22+$BC22+$AM22+$W22+$G22</f>
        <v>466</v>
      </c>
      <c r="BS71" s="785">
        <f>$BS22+$BD22+$AN22+$X22+$H22</f>
        <v>0</v>
      </c>
      <c r="BT71" s="1016">
        <f>$BT22+$BE22+$AO22+$Y22+$I22</f>
        <v>56826.366666666683</v>
      </c>
      <c r="BU71" s="930">
        <f t="shared" si="52"/>
        <v>8.1337188025629916E-3</v>
      </c>
      <c r="BV71" s="930">
        <f t="shared" si="53"/>
        <v>0.99186628119743703</v>
      </c>
      <c r="BW71" s="990">
        <f>$BW22+$BH22+$AS22+$AC22+$M22</f>
        <v>57002.666666666672</v>
      </c>
      <c r="BX71" s="990"/>
      <c r="BY71" s="1018">
        <f>$BY22+$BJ22+$AU22+$AE22+$O22</f>
        <v>176.2999999999829</v>
      </c>
      <c r="BZ71" s="1019"/>
      <c r="CA71" s="915"/>
      <c r="CB71" s="912">
        <v>14</v>
      </c>
      <c r="CC71" s="876" t="s">
        <v>159</v>
      </c>
      <c r="CD71" s="990">
        <f>$BO22+$AZ22+$AJ22+$T22+$D22+$CD22</f>
        <v>68125.866666666683</v>
      </c>
      <c r="CE71" s="990">
        <f>$BP22+$BA22+$AK22+$U22+$E22+$CE22</f>
        <v>132.70000000000002</v>
      </c>
      <c r="CF71" s="41">
        <f>$BQ22+$BB22+$AL22+$V22+$F22+$CF22</f>
        <v>210.7</v>
      </c>
      <c r="CG71" s="106">
        <f>$BR22+$BC22+$AM22+$W22+$G22+$CG22</f>
        <v>466</v>
      </c>
      <c r="CH71" s="785">
        <f>$BS22+$BD22+$AN22+$X22+$H22+$CH22</f>
        <v>0</v>
      </c>
      <c r="CI71" s="1016">
        <f>$BT22+$BE22+$AO22+$Y22+$I22+$CI22</f>
        <v>68003.266666666677</v>
      </c>
      <c r="CJ71" s="930">
        <f t="shared" si="54"/>
        <v>6.80597328825877E-3</v>
      </c>
      <c r="CK71" s="930">
        <f t="shared" si="55"/>
        <v>0.99319402671174128</v>
      </c>
      <c r="CL71" s="990">
        <f>$BW22+$BH22+$AS22+$AC22+$M22+$CL22</f>
        <v>68190.066666666666</v>
      </c>
      <c r="CM71" s="990"/>
      <c r="CN71" s="1018">
        <f>$BY22+$BJ22+$AU22+$AE22+$O22+$CN22</f>
        <v>186.7999999999829</v>
      </c>
      <c r="CO71" s="1019"/>
      <c r="CP71" s="919"/>
      <c r="CQ71" s="912">
        <v>14</v>
      </c>
      <c r="CR71" s="876" t="s">
        <v>159</v>
      </c>
      <c r="CS71" s="990">
        <f>$BO22+$AZ22+$AJ22+$T22+$D22+$CD22+$CS22</f>
        <v>79835.000000000015</v>
      </c>
      <c r="CT71" s="990">
        <f>$BP22+$BA22+$AK22+$U22+$E22+$CE22+$CT22</f>
        <v>132.70000000000002</v>
      </c>
      <c r="CU71" s="41">
        <f>$BQ22+$BB22+$AL22+$V22+$F22+$CF22+$CU22</f>
        <v>210.7</v>
      </c>
      <c r="CV71" s="106">
        <f>$BR22+$BC22+$AM22+$W22+$G22+$CG22+$CV22</f>
        <v>466</v>
      </c>
      <c r="CW71" s="785">
        <f>$BS22+$BD22+$AN22+$X22+$H22+$CH22+$CW22</f>
        <v>0</v>
      </c>
      <c r="CX71" s="1016">
        <f>$BT22+$BE22+$AO22+$Y22+$I22+$CI22+$CX22</f>
        <v>79712.400000000009</v>
      </c>
      <c r="CY71" s="930">
        <f t="shared" si="56"/>
        <v>5.8120391526895014E-3</v>
      </c>
      <c r="CZ71" s="930">
        <f t="shared" si="57"/>
        <v>0.99418796084731054</v>
      </c>
      <c r="DA71" s="990">
        <f>$BW22+$BH22+$AS22+$AC22+$M22+$CL22+$DA22</f>
        <v>79910.2</v>
      </c>
      <c r="DB71" s="990"/>
      <c r="DC71" s="1018">
        <f>$BY22+$BJ22+$AU22+$AE22+$O22+$CN22+$DC22</f>
        <v>197.79999999997926</v>
      </c>
      <c r="DD71" s="1019"/>
      <c r="DE71" s="920"/>
      <c r="DF71" s="910">
        <v>14</v>
      </c>
      <c r="DG71" s="876" t="s">
        <v>159</v>
      </c>
      <c r="DH71" s="990">
        <f>$BO22+$AZ22+$AJ22+$T22+$D22+$CD22+$CS22+$DH22</f>
        <v>90479.666666666686</v>
      </c>
      <c r="DI71" s="990">
        <f>$BP22+$BA22+$AK22+$U22+$E22+$CE22+$CT22+$DJ22</f>
        <v>132.70000000000002</v>
      </c>
      <c r="DJ71" s="41">
        <f>$BQ22+$BB22+$AL22+$V22+$F22+$CF22+$CU22+$DJ22</f>
        <v>210.7</v>
      </c>
      <c r="DK71" s="106">
        <f>$BR22+$BC22+$AM22+$W22+$G22+$CG22+$CV22+$DK22</f>
        <v>466</v>
      </c>
      <c r="DL71" s="785">
        <f>$BS22+$BD22+$AN22+$X22+$H22+$CH22+$CW22+DL22</f>
        <v>0</v>
      </c>
      <c r="DM71" s="1016">
        <f>$BT22+$BE22+$AO22+$Y22+$I22+$CI22+$CX22+DM22</f>
        <v>90357.06666666668</v>
      </c>
      <c r="DN71" s="930">
        <f t="shared" si="58"/>
        <v>5.130855157206759E-3</v>
      </c>
      <c r="DO71" s="930">
        <f t="shared" si="59"/>
        <v>0.99486914484279321</v>
      </c>
      <c r="DP71" s="990">
        <f>$BW22+$BH22+$AS22+$AC22+$M22+$CL22+$DA22+$DP22</f>
        <v>90564.866666666669</v>
      </c>
      <c r="DQ71" s="990"/>
      <c r="DR71" s="1020">
        <f>$BY22+$BJ22+$AU22+$AE22+$O22+$CN22+$DC22+$DR22</f>
        <v>207.79999999997744</v>
      </c>
      <c r="DS71" s="1019"/>
      <c r="DT71" s="921"/>
      <c r="DU71" s="910">
        <v>14</v>
      </c>
      <c r="DV71" s="876" t="s">
        <v>159</v>
      </c>
      <c r="DW71" s="990">
        <f>$BO22+$AZ22+$AJ22+$T22+$D22+$CD22+$CS22+$DH22+$DW22</f>
        <v>101656.56666666668</v>
      </c>
      <c r="DX71" s="990">
        <f>$BP22+$BA22+$AK22+$U22+$E22+$CE22+$CT22+$DJ22+$DX22</f>
        <v>132.70000000000002</v>
      </c>
      <c r="DY71" s="41">
        <f>$BQ22+$BB22+$AL22+$V22+$F22+$CF22+$CU22+$DJ22+$DY22</f>
        <v>210.7</v>
      </c>
      <c r="DZ71" s="106">
        <f>$BR22+$BC22+$AM22+$W22+$G22+$CG22+$CV22+$DK22+$DZ22</f>
        <v>466</v>
      </c>
      <c r="EA71" s="785">
        <f>$BS22+$BD22+$AN22+$X22+$H22+$CH22+$CW22+$DL22+$EA22</f>
        <v>0</v>
      </c>
      <c r="EB71" s="1016">
        <f>$BT22+$BE22+$AO22+$Y22+$I22+$CI22+$CX22+$DM22+$EB22</f>
        <v>101533.96666666667</v>
      </c>
      <c r="EC71" s="930">
        <f t="shared" si="60"/>
        <v>4.5686289439963862E-3</v>
      </c>
      <c r="ED71" s="930">
        <f t="shared" si="61"/>
        <v>0.99543137105600366</v>
      </c>
      <c r="EE71" s="990">
        <f>$BW22+$BH22+$AS22+$AC22+$M22+$CL22+$DA22+$DP22+$EE22</f>
        <v>101752.26666666666</v>
      </c>
      <c r="EF71" s="990"/>
      <c r="EG71" s="1020">
        <f>$BY22+$BJ22+$AU22+$AE22+$O22+$CN22+$DC22+$DR22+$EG22</f>
        <v>218.29999999997744</v>
      </c>
      <c r="EH71" s="1019"/>
      <c r="EI71" s="941"/>
      <c r="EJ71" s="912">
        <v>14</v>
      </c>
      <c r="EK71" s="876" t="s">
        <v>159</v>
      </c>
      <c r="EL71" s="990">
        <f>$BO22+$AZ22+$AJ22+$T22+$D22+$CD22+$CS22+$DH22+$DW22+$EL22</f>
        <v>113365.70000000001</v>
      </c>
      <c r="EM71" s="990">
        <f>$BP22+$BA22+$AK22+$U22+$E22+$CE22+$CT22+$DJ22+$DX22+$EM22</f>
        <v>132.70000000000002</v>
      </c>
      <c r="EN71" s="41">
        <f>$BQ22+$BB22+$AL22+$V22+$F22+$CF22+$CU22+$DJ22+$DY22+$EN22</f>
        <v>210.7</v>
      </c>
      <c r="EO71" s="106">
        <f>$BR22+$BC22+$AM22+$W22+$G22+$CG22+$CV22+$DK22+$DZ22+$EO22</f>
        <v>466</v>
      </c>
      <c r="EP71" s="785">
        <f>$BS22+$BD22+$AN22+$X22+$H22+$CH22+$CW22+$DL22+$EA22+$EP22</f>
        <v>0</v>
      </c>
      <c r="EQ71" s="1016">
        <f>$BT22+$BE22+$AO22+$Y22+$I22+$CI22+$CX22+$DM22+$EB22+$EQ22</f>
        <v>113243.1</v>
      </c>
      <c r="ER71" s="930">
        <f t="shared" si="62"/>
        <v>4.0981768389689128E-3</v>
      </c>
      <c r="ES71" s="930">
        <f t="shared" si="63"/>
        <v>0.99590182316103104</v>
      </c>
      <c r="ET71" s="990">
        <f>$BW22+$BH22+$AS22+$AC22+$M22+$CL22+$DA22+$DP22+$EE22+$ET22</f>
        <v>113472.4</v>
      </c>
      <c r="EU71" s="990"/>
      <c r="EV71" s="1020">
        <f>$BY22+$BJ22+$AU22+$AE22+$O22+$CN22+$DC22+$DR22+$EG22+$EV22</f>
        <v>229.29999999997381</v>
      </c>
      <c r="EW71" s="1019"/>
      <c r="EX71" s="925"/>
      <c r="EY71" s="910">
        <v>14</v>
      </c>
      <c r="EZ71" s="876" t="s">
        <v>159</v>
      </c>
      <c r="FA71" s="990">
        <f>$BO22+$AZ22+$AJ22+$T22+$D22+$CD22+$CS22+$DH22+$DW22+$EL22+$FA22</f>
        <v>124542.6</v>
      </c>
      <c r="FB71" s="990">
        <f>$BP22+$BA22+$AK22+$U22+$E22+$CE22+$CT22+$DJ22+$DX22+$EM22+$FB22</f>
        <v>132.70000000000002</v>
      </c>
      <c r="FC71" s="41">
        <f>$BQ22+$BB22+$AL22+$V22+$F22+$CF22+$CU22+$DJ22+$DY22+$EN22+$FC22</f>
        <v>210.7</v>
      </c>
      <c r="FD71" s="106">
        <f>$BR22+$BC22+$AM22+$W22+$G22+$CG22+$CV22+$DK22+$DZ22+$EO22+$FD22</f>
        <v>466</v>
      </c>
      <c r="FE71" s="785">
        <f>$BS22+$BD22+$AN22+$X22+$H22+$CH22+$CW22+$DL22+$EA22+$EP22+$FE22</f>
        <v>0</v>
      </c>
      <c r="FF71" s="1016">
        <f>$BT22+$BE22+$AO22+$Y22+$I22+$CI22+$CX22+$DM22+$EB22+$EQ22+$FF22</f>
        <v>124420</v>
      </c>
      <c r="FG71" s="930">
        <f t="shared" si="67"/>
        <v>3.7314030395720899E-3</v>
      </c>
      <c r="FH71" s="930">
        <f t="shared" si="64"/>
        <v>0.99626859696042791</v>
      </c>
      <c r="FI71" s="990">
        <f>$BW22+$BH22+$AS22+$AC22+$M22+$CL22+$DA22+$DP22+$EE22+$ET22+$FI22</f>
        <v>124659.79999999999</v>
      </c>
      <c r="FJ71" s="990"/>
      <c r="FK71" s="1020">
        <f>$BY22+$BJ22+$AU22+$AE22+$O22+$CN22+$DC22+$DR22+$EG22+$EV22+$FK22</f>
        <v>239.79999999997381</v>
      </c>
      <c r="FL71" s="1019"/>
      <c r="FM71" s="927"/>
      <c r="FN71" s="910">
        <v>14</v>
      </c>
      <c r="FO71" s="876" t="s">
        <v>159</v>
      </c>
      <c r="FP71" s="990">
        <f>$BO22+$AZ22+$AJ22+$T22+$D22+$CD22+$CS22+$DH22+$DW22+$EL22+$FA22+$FP22</f>
        <v>135719.5</v>
      </c>
      <c r="FQ71" s="990">
        <f>$BP22+$BA22+$AK22+$U22+$E22+$CE22+$CT22+DI22+$DX22+$EM22+$FB22+$FQ22</f>
        <v>132.70000000000002</v>
      </c>
      <c r="FR71" s="41">
        <f>$BQ22+$BB22+$AL22+$V22+$F22+$CF22+$CU22+$DJ22+$DY22+$EN22+$FC22+$FR22</f>
        <v>210.7</v>
      </c>
      <c r="FS71" s="106">
        <f>$BR22+$BC22+$AM22+$W22+$G22+$CG22+$CV22+$DK22+$DZ22+$EO22+$FD22+$FS22</f>
        <v>466</v>
      </c>
      <c r="FT71" s="785">
        <f>$BS22+$BD22+$AN22+$X22+$H22+$CH22+$CW22+$DL22+$EA22+$EP22+$FE22+$FT22</f>
        <v>0</v>
      </c>
      <c r="FU71" s="1016">
        <f>$BT22+$BE22+$AO22+$Y22+$I22+$CI22+$CX22+$DM22+$EB22+$EQ22+$FF22+$FU22</f>
        <v>135596.9</v>
      </c>
      <c r="FV71" s="930">
        <f t="shared" si="65"/>
        <v>3.4248865781928792E-3</v>
      </c>
      <c r="FW71" s="930">
        <f t="shared" si="66"/>
        <v>0.99657511342180716</v>
      </c>
      <c r="FX71" s="990">
        <f>$BW22+$BH22+$AS22+$AC22+$M22+$CL22+$DA22+$DP22+$EE22+$ET22+$FI22+$FX22</f>
        <v>135847.19999999998</v>
      </c>
      <c r="FY71" s="990"/>
      <c r="FZ71" s="1020">
        <f>$BY22+$BJ22+$AU22+$AE22+$O22+$CN22+$DC22+$DR22+$EG22+$EV22+$FK22+$FZ22</f>
        <v>250.29999999997381</v>
      </c>
      <c r="GA71" s="1019"/>
    </row>
    <row r="72" spans="1:183">
      <c r="A72" s="906"/>
      <c r="B72" s="912">
        <v>15</v>
      </c>
      <c r="C72" s="876" t="s">
        <v>160</v>
      </c>
      <c r="D72" s="990">
        <f>SUM($D$23:D23)</f>
        <v>67494.733333333323</v>
      </c>
      <c r="E72" s="990">
        <f>SUM(E23:E23)</f>
        <v>1187.1333333333334</v>
      </c>
      <c r="F72" s="57">
        <f t="shared" si="95"/>
        <v>0</v>
      </c>
      <c r="G72" s="106">
        <f t="shared" si="95"/>
        <v>481</v>
      </c>
      <c r="H72" s="785">
        <f t="shared" si="95"/>
        <v>0</v>
      </c>
      <c r="I72" s="1016">
        <f t="shared" si="95"/>
        <v>68200.866666666654</v>
      </c>
      <c r="J72" s="1017">
        <f t="shared" si="95"/>
        <v>64093</v>
      </c>
      <c r="K72" s="930">
        <f>(G72-H72)/(D72+E72+F72)</f>
        <v>7.0033041229708385E-3</v>
      </c>
      <c r="L72" s="930">
        <f>1-((G72-H72)/(D72+E72+F72))</f>
        <v>0.99299669587702921</v>
      </c>
      <c r="M72" s="990">
        <f t="shared" si="96"/>
        <v>67792</v>
      </c>
      <c r="N72" s="990">
        <f t="shared" si="96"/>
        <v>0</v>
      </c>
      <c r="O72" s="1018">
        <f>O23</f>
        <v>-408.86666666665406</v>
      </c>
      <c r="P72" s="1019"/>
      <c r="Q72" s="909"/>
      <c r="R72" s="910">
        <v>15</v>
      </c>
      <c r="S72" s="876" t="s">
        <v>160</v>
      </c>
      <c r="T72" s="990">
        <f t="shared" si="97"/>
        <v>135419.83333333331</v>
      </c>
      <c r="U72" s="990">
        <f t="shared" si="97"/>
        <v>2325.2666666666664</v>
      </c>
      <c r="V72" s="57">
        <f t="shared" si="97"/>
        <v>0</v>
      </c>
      <c r="W72" s="106">
        <f t="shared" si="97"/>
        <v>1146</v>
      </c>
      <c r="X72" s="785">
        <f t="shared" si="97"/>
        <v>0</v>
      </c>
      <c r="Y72" s="1016">
        <f t="shared" si="98"/>
        <v>136599.09999999998</v>
      </c>
      <c r="Z72" s="1017">
        <f t="shared" si="98"/>
        <v>132160</v>
      </c>
      <c r="AA72" s="930">
        <f t="shared" si="41"/>
        <v>8.3197151840609957E-3</v>
      </c>
      <c r="AB72" s="930">
        <f t="shared" si="42"/>
        <v>0.99168028481593895</v>
      </c>
      <c r="AC72" s="990">
        <f t="shared" si="99"/>
        <v>136012</v>
      </c>
      <c r="AD72" s="990">
        <f t="shared" si="99"/>
        <v>0</v>
      </c>
      <c r="AE72" s="1018">
        <f>AE23+O23</f>
        <v>-587.09999999999127</v>
      </c>
      <c r="AF72" s="1019"/>
      <c r="AG72" s="911"/>
      <c r="AH72" s="912">
        <v>15</v>
      </c>
      <c r="AI72" s="876" t="s">
        <v>160</v>
      </c>
      <c r="AJ72" s="990">
        <f t="shared" si="100"/>
        <v>199757.26666666666</v>
      </c>
      <c r="AK72" s="990">
        <f t="shared" si="100"/>
        <v>3327.75</v>
      </c>
      <c r="AL72" s="57">
        <f t="shared" si="100"/>
        <v>0</v>
      </c>
      <c r="AM72" s="106">
        <f t="shared" si="100"/>
        <v>1782</v>
      </c>
      <c r="AN72" s="785">
        <f t="shared" si="100"/>
        <v>0</v>
      </c>
      <c r="AO72" s="1016">
        <f t="shared" si="101"/>
        <v>201303.01666666666</v>
      </c>
      <c r="AP72" s="1017">
        <f t="shared" si="101"/>
        <v>132160</v>
      </c>
      <c r="AQ72" s="930">
        <f t="shared" si="46"/>
        <v>8.7746502880854255E-3</v>
      </c>
      <c r="AR72" s="930">
        <f t="shared" si="47"/>
        <v>0.99122534971191456</v>
      </c>
      <c r="AS72" s="990">
        <f t="shared" si="102"/>
        <v>200504</v>
      </c>
      <c r="AT72" s="990">
        <f t="shared" si="102"/>
        <v>0</v>
      </c>
      <c r="AU72" s="1018">
        <f>AU23+AE23+O23</f>
        <v>-799.01666666667006</v>
      </c>
      <c r="AV72" s="1019"/>
      <c r="AW72" s="913"/>
      <c r="AX72" s="912">
        <v>15</v>
      </c>
      <c r="AY72" s="876" t="s">
        <v>160</v>
      </c>
      <c r="AZ72" s="990">
        <f t="shared" si="103"/>
        <v>268299.40000000002</v>
      </c>
      <c r="BA72" s="990">
        <f t="shared" si="103"/>
        <v>3708.4666666666662</v>
      </c>
      <c r="BB72" s="57">
        <f t="shared" si="103"/>
        <v>0</v>
      </c>
      <c r="BC72" s="106">
        <f t="shared" si="103"/>
        <v>2410</v>
      </c>
      <c r="BD72" s="785">
        <f t="shared" si="103"/>
        <v>0</v>
      </c>
      <c r="BE72" s="1016">
        <f t="shared" si="103"/>
        <v>269597.8666666667</v>
      </c>
      <c r="BF72" s="930">
        <f t="shared" si="50"/>
        <v>8.8600378714537159E-3</v>
      </c>
      <c r="BG72" s="930">
        <f t="shared" si="51"/>
        <v>0.99113996212854627</v>
      </c>
      <c r="BH72" s="990">
        <f>BH23+AS23+AC23+M23</f>
        <v>269201</v>
      </c>
      <c r="BI72" s="990"/>
      <c r="BJ72" s="1018">
        <f>BJ23+AU23+AE23+O23</f>
        <v>-396.86666666667588</v>
      </c>
      <c r="BK72" s="1019"/>
      <c r="BL72" s="914"/>
      <c r="BM72" s="910">
        <v>15</v>
      </c>
      <c r="BN72" s="876" t="s">
        <v>160</v>
      </c>
      <c r="BO72" s="990">
        <f>$BO23+$AZ23+$AJ23+$T23+$D23</f>
        <v>333060.06666666671</v>
      </c>
      <c r="BP72" s="990">
        <f>$BP23+$BA23+$AK23+$U23+$E23</f>
        <v>3708.4666666666662</v>
      </c>
      <c r="BQ72" s="41">
        <f>$BQ23+$BB23+$AL23+$V23+$F23</f>
        <v>0</v>
      </c>
      <c r="BR72" s="106">
        <f>$BR23+$BC23+$AM23+$W23+$G23</f>
        <v>2410</v>
      </c>
      <c r="BS72" s="785">
        <f>$BS23+$BD23+$AN23+$X23+$H23</f>
        <v>0</v>
      </c>
      <c r="BT72" s="1016">
        <f>$BT23+$BE23+$AO23+$Y23+$I23</f>
        <v>334358.53333333338</v>
      </c>
      <c r="BU72" s="930">
        <f t="shared" si="52"/>
        <v>7.1562505443897358E-3</v>
      </c>
      <c r="BV72" s="930">
        <f t="shared" si="53"/>
        <v>0.99284374945561027</v>
      </c>
      <c r="BW72" s="990">
        <f>$BW23+$BH23+$AS23+$AC23+$M23</f>
        <v>334120.66666666663</v>
      </c>
      <c r="BX72" s="990"/>
      <c r="BY72" s="1018">
        <f>$BY23+$BJ23+$AU23+$AE23+$O23</f>
        <v>-237.86666666669771</v>
      </c>
      <c r="BZ72" s="1019"/>
      <c r="CA72" s="915"/>
      <c r="CB72" s="912">
        <v>15</v>
      </c>
      <c r="CC72" s="876" t="s">
        <v>160</v>
      </c>
      <c r="CD72" s="990">
        <f>$BO23+$AZ23+$AJ23+$T23+$D23+$CD23</f>
        <v>399758.96666666667</v>
      </c>
      <c r="CE72" s="990">
        <f>$BP23+$BA23+$AK23+$U23+$E23+$CE23</f>
        <v>3708.4666666666662</v>
      </c>
      <c r="CF72" s="41">
        <f>$BQ23+$BB23+$AL23+$V23+$F23+$CF23</f>
        <v>0</v>
      </c>
      <c r="CG72" s="106">
        <f>$BR23+$BC23+$AM23+$W23+$G23+$CG23</f>
        <v>2410</v>
      </c>
      <c r="CH72" s="785">
        <f>$BS23+$BD23+$AN23+$X23+$H23+$CH23</f>
        <v>0</v>
      </c>
      <c r="CI72" s="1016">
        <f>$BT23+$BE23+$AO23+$Y23+$I23+$CI23</f>
        <v>401057.43333333335</v>
      </c>
      <c r="CJ72" s="930">
        <f t="shared" si="54"/>
        <v>5.9732206391213891E-3</v>
      </c>
      <c r="CK72" s="930">
        <f t="shared" si="55"/>
        <v>0.99402677936087858</v>
      </c>
      <c r="CL72" s="990">
        <f>$BW23+$BH23+$AS23+$AC23+$M23+$CL23</f>
        <v>401006.81666666665</v>
      </c>
      <c r="CM72" s="990"/>
      <c r="CN72" s="1018">
        <f>$BY23+$BJ23+$AU23+$AE23+$O23+$CN23</f>
        <v>-50.616666666697711</v>
      </c>
      <c r="CO72" s="1019"/>
      <c r="CP72" s="919"/>
      <c r="CQ72" s="912">
        <v>15</v>
      </c>
      <c r="CR72" s="876" t="s">
        <v>160</v>
      </c>
      <c r="CS72" s="990">
        <f>$BO23+$AZ23+$AJ23+$T23+$D23+$CD23+$CS23</f>
        <v>467352.9</v>
      </c>
      <c r="CT72" s="990">
        <f>$BP23+$BA23+$AK23+$U23+$E23+$CE23+$CT23</f>
        <v>3708.4666666666662</v>
      </c>
      <c r="CU72" s="41">
        <f>$BQ23+$BB23+$AL23+$V23+$F23+$CF23+$CU23</f>
        <v>0</v>
      </c>
      <c r="CV72" s="106">
        <f>$BR23+$BC23+$AM23+$W23+$G23+$CG23+$CV23</f>
        <v>2410</v>
      </c>
      <c r="CW72" s="785">
        <f>$BS23+$BD23+$AN23+$X23+$H23+$CH23+$CW23</f>
        <v>0</v>
      </c>
      <c r="CX72" s="1016">
        <f>$BT23+$BE23+$AO23+$Y23+$I23+$CI23+$CX23</f>
        <v>468651.3666666667</v>
      </c>
      <c r="CY72" s="930">
        <f t="shared" si="56"/>
        <v>5.1161062454637011E-3</v>
      </c>
      <c r="CZ72" s="930">
        <f t="shared" si="57"/>
        <v>0.99488389375453634</v>
      </c>
      <c r="DA72" s="990">
        <f>$BW23+$BH23+$AS23+$AC23+$M23+$CL23+$DA23</f>
        <v>468798.44999999995</v>
      </c>
      <c r="DB72" s="990"/>
      <c r="DC72" s="1018">
        <f>$BY23+$BJ23+$AU23+$AE23+$O23+$CN23+$DC23</f>
        <v>147.08333333328483</v>
      </c>
      <c r="DD72" s="1019"/>
      <c r="DE72" s="920"/>
      <c r="DF72" s="910">
        <v>15</v>
      </c>
      <c r="DG72" s="876" t="s">
        <v>160</v>
      </c>
      <c r="DH72" s="990">
        <f>$BO23+$AZ23+$AJ23+$T23+$D23+$CD23+$CS23+$DH23</f>
        <v>528717.26666666672</v>
      </c>
      <c r="DI72" s="990">
        <f>$BP23+$BA23+$AK23+$U23+$E23+$CE23+$CT23+$DJ23</f>
        <v>3708.4666666666662</v>
      </c>
      <c r="DJ72" s="41">
        <f>$BQ23+$BB23+$AL23+$V23+$F23+$CF23+$CU23+$DJ23</f>
        <v>0</v>
      </c>
      <c r="DK72" s="106">
        <f>$BR23+$BC23+$AM23+$W23+$G23+$CG23+$CV23+$DK23</f>
        <v>2410</v>
      </c>
      <c r="DL72" s="785">
        <f>$BS23+$BD23+$AN23+$X23+$H23+$CH23+$CW23+DL23</f>
        <v>0</v>
      </c>
      <c r="DM72" s="1016">
        <f>$BT23+$BE23+$AO23+$Y23+$I23+$CI23+$CX23+DM23</f>
        <v>530015.7333333334</v>
      </c>
      <c r="DN72" s="930">
        <f t="shared" si="58"/>
        <v>4.5264528912076123E-3</v>
      </c>
      <c r="DO72" s="930">
        <f t="shared" si="59"/>
        <v>0.99547354710879243</v>
      </c>
      <c r="DP72" s="990">
        <f>$BW23+$BH23+$AS23+$AC23+$M23+$CL23+$DA23+$DP23</f>
        <v>531801.11666666658</v>
      </c>
      <c r="DQ72" s="990"/>
      <c r="DR72" s="1020">
        <f>$BY23+$BJ23+$AU23+$AE23+$O23+$CN23+$DC23+$DR23</f>
        <v>1785.3833333332659</v>
      </c>
      <c r="DS72" s="1019"/>
      <c r="DT72" s="921"/>
      <c r="DU72" s="910">
        <v>15</v>
      </c>
      <c r="DV72" s="876" t="s">
        <v>160</v>
      </c>
      <c r="DW72" s="990">
        <f>$BO23+$AZ23+$AJ23+$T23+$D23+$CD23+$CS23+$DH23+$DW23</f>
        <v>595853.01666666672</v>
      </c>
      <c r="DX72" s="990">
        <f>$BP23+$BA23+$AK23+$U23+$E23+$CE23+$CT23+$DJ23+$DX23</f>
        <v>3708.4666666666662</v>
      </c>
      <c r="DY72" s="41">
        <f>$BQ23+$BB23+$AL23+$V23+$F23+$CF23+$CU23+$DJ23+$DY23</f>
        <v>0</v>
      </c>
      <c r="DZ72" s="106">
        <f>$BR23+$BC23+$AM23+$W23+$G23+$CG23+$CV23+$DK23+$DZ23</f>
        <v>2410</v>
      </c>
      <c r="EA72" s="785">
        <f>$BS23+$BD23+$AN23+$X23+$H23+$CH23+$CW23+$DL23+$EA23</f>
        <v>0</v>
      </c>
      <c r="EB72" s="1016">
        <f>$BT23+$BE23+$AO23+$Y23+$I23+$CI23+$CX23+$DM23+$EB23</f>
        <v>597151.4833333334</v>
      </c>
      <c r="EC72" s="930">
        <f t="shared" si="60"/>
        <v>4.0196044392333515E-3</v>
      </c>
      <c r="ED72" s="930">
        <f t="shared" si="61"/>
        <v>0.99598039556076667</v>
      </c>
      <c r="EE72" s="990">
        <f>$BW23+$BH23+$AS23+$AC23+$M23+$CL23+$DA23+$DP23+$EE23</f>
        <v>597626.2666666666</v>
      </c>
      <c r="EF72" s="990"/>
      <c r="EG72" s="1020">
        <f>$BY23+$BJ23+$AU23+$AE23+$O23+$CN23+$DC23+$DR23+$EG23</f>
        <v>474.78333333326009</v>
      </c>
      <c r="EH72" s="1019"/>
      <c r="EI72" s="941"/>
      <c r="EJ72" s="912">
        <v>15</v>
      </c>
      <c r="EK72" s="876" t="s">
        <v>160</v>
      </c>
      <c r="EL72" s="990">
        <f>$BO23+$AZ23+$AJ23+$T23+$D23+$CD23+$CS23+$DH23+$DW23+$EL23</f>
        <v>661973.38333333342</v>
      </c>
      <c r="EM72" s="990">
        <f>$BP23+$BA23+$AK23+$U23+$E23+$CE23+$CT23+$DJ23+$DX23+$EM23</f>
        <v>3708.4666666666662</v>
      </c>
      <c r="EN72" s="41">
        <f>$BQ23+$BB23+$AL23+$V23+$F23+$CF23+$CU23+$DJ23+$DY23+$EN23</f>
        <v>0</v>
      </c>
      <c r="EO72" s="106">
        <f>$BR23+$BC23+$AM23+$W23+$G23+$CG23+$CV23+$DK23+$DZ23+$EO23</f>
        <v>2410</v>
      </c>
      <c r="EP72" s="785">
        <f>$BS23+$BD23+$AN23+$X23+$H23+$CH23+$CW23+$DL23+$EA23+$EP23</f>
        <v>0</v>
      </c>
      <c r="EQ72" s="1016">
        <f>$BT23+$BE23+$AO23+$Y23+$I23+$CI23+$CX23+$DM23+$EB23+$EQ23</f>
        <v>663271.85000000009</v>
      </c>
      <c r="ER72" s="930">
        <f t="shared" si="62"/>
        <v>3.6203480686757489E-3</v>
      </c>
      <c r="ES72" s="930">
        <f t="shared" si="63"/>
        <v>0.99637965193132427</v>
      </c>
      <c r="ET72" s="990">
        <f>$BW23+$BH23+$AS23+$AC23+$M23+$CL23+$DA23+$DP23+$EE23+$ET23</f>
        <v>663928.89999999991</v>
      </c>
      <c r="EU72" s="990"/>
      <c r="EV72" s="1020">
        <f>$BY23+$BJ23+$AU23+$AE23+$O23+$CN23+$DC23+$DR23+$EG23+$EV23</f>
        <v>657.04999999990832</v>
      </c>
      <c r="EW72" s="1019"/>
      <c r="EX72" s="925"/>
      <c r="EY72" s="910">
        <v>15</v>
      </c>
      <c r="EZ72" s="876" t="s">
        <v>160</v>
      </c>
      <c r="FA72" s="990">
        <f>$BO23+$AZ23+$AJ23+$T23+$D23+$CD23+$CS23+$DH23+$DW23+$EL23+$FA23</f>
        <v>729142.85000000009</v>
      </c>
      <c r="FB72" s="990">
        <f>$BP23+$BA23+$AK23+$U23+$E23+$CE23+$CT23+$DJ23+$DX23+$EM23+$FB23</f>
        <v>3708.4666666666662</v>
      </c>
      <c r="FC72" s="41">
        <f>$BQ23+$BB23+$AL23+$V23+$F23+$CF23+$CU23+$DJ23+$DY23+$EN23+$FC23</f>
        <v>0</v>
      </c>
      <c r="FD72" s="106">
        <f>$BR23+$BC23+$AM23+$W23+$G23+$CG23+$CV23+$DK23+$DZ23+$EO23+$FD23</f>
        <v>2410</v>
      </c>
      <c r="FE72" s="785">
        <f>$BS23+$BD23+$AN23+$X23+$H23+$CH23+$CW23+$DL23+$EA23+$EP23+$FE23</f>
        <v>0</v>
      </c>
      <c r="FF72" s="1016">
        <f>$BT23+$BE23+$AO23+$Y23+$I23+$CI23+$CX23+$DM23+$EB23+$EQ23+$FF23</f>
        <v>730441.31666666677</v>
      </c>
      <c r="FG72" s="930">
        <f t="shared" si="67"/>
        <v>3.2885251690093842E-3</v>
      </c>
      <c r="FH72" s="930">
        <f t="shared" si="64"/>
        <v>0.99671147483099065</v>
      </c>
      <c r="FI72" s="990">
        <f>$BW23+$BH23+$AS23+$AC23+$M23+$CL23+$DA23+$DP23+$EE23+$ET23+$FI23</f>
        <v>732732.04999999993</v>
      </c>
      <c r="FJ72" s="990"/>
      <c r="FK72" s="1020">
        <f>$BY23+$BJ23+$AU23+$AE23+$O23+$CN23+$DC23+$DR23+$EG23+$EV23+$FK23</f>
        <v>2290.7333333332281</v>
      </c>
      <c r="FL72" s="1019"/>
      <c r="FM72" s="927"/>
      <c r="FN72" s="910">
        <v>15</v>
      </c>
      <c r="FO72" s="876" t="s">
        <v>160</v>
      </c>
      <c r="FP72" s="990">
        <f>$BO23+$AZ23+$AJ23+$T23+$D23+$CD23+$CS23+$DH23+$DW23+$EL23+$FA23+$FP23</f>
        <v>794361.70000000007</v>
      </c>
      <c r="FQ72" s="990">
        <f>$BP23+$BA23+$AK23+$U23+$E23+$CE23+$CT23+DI23+$DX23+$EM23+$FB23+$FQ23</f>
        <v>3708.4666666666662</v>
      </c>
      <c r="FR72" s="41">
        <f>$BQ23+$BB23+$AL23+$V23+$F23+$CF23+$CU23+$DJ23+$DY23+$EN23+$FC23+$FR23</f>
        <v>0</v>
      </c>
      <c r="FS72" s="106">
        <f>$BR23+$BC23+$AM23+$W23+$G23+$CG23+$CV23+$DK23+$DZ23+$EO23+$FD23+$FS23</f>
        <v>2410</v>
      </c>
      <c r="FT72" s="785">
        <f>$BS23+$BD23+$AN23+$X23+$H23+$CH23+$CW23+$DL23+$EA23+$EP23+$FE23+$FT23</f>
        <v>0</v>
      </c>
      <c r="FU72" s="1016">
        <f>$BT23+$BE23+$AO23+$Y23+$I23+$CI23+$CX23+$DM23+$EB23+$EQ23+$FF23+$FU23</f>
        <v>795660.16666666674</v>
      </c>
      <c r="FV72" s="930">
        <f t="shared" si="65"/>
        <v>3.0197846012286721E-3</v>
      </c>
      <c r="FW72" s="930">
        <f t="shared" si="66"/>
        <v>0.99698021539877135</v>
      </c>
      <c r="FX72" s="990">
        <f>$BW23+$BH23+$AS23+$AC23+$M23+$CL23+$DA23+$DP23+$EE23+$ET23+$FI23+$FX23</f>
        <v>796640.2</v>
      </c>
      <c r="FY72" s="990"/>
      <c r="FZ72" s="1020">
        <f>$BY23+$BJ23+$AU23+$AE23+$O23+$CN23+$DC23+$DR23+$EG23+$EV23+$FK23+$FZ23</f>
        <v>980.03333333323098</v>
      </c>
      <c r="GA72" s="1019"/>
    </row>
    <row r="73" spans="1:183">
      <c r="A73" s="906"/>
      <c r="B73" s="876">
        <v>16</v>
      </c>
      <c r="C73" s="876" t="s">
        <v>161</v>
      </c>
      <c r="D73" s="990">
        <f>SUM($D$24:D24)</f>
        <v>63887.51666666667</v>
      </c>
      <c r="E73" s="990">
        <f>SUM(E24:E24)</f>
        <v>578.83333333333314</v>
      </c>
      <c r="F73" s="55">
        <f t="shared" si="95"/>
        <v>136.31666666666666</v>
      </c>
      <c r="G73" s="106">
        <f t="shared" si="95"/>
        <v>596</v>
      </c>
      <c r="H73" s="785">
        <f t="shared" si="95"/>
        <v>0</v>
      </c>
      <c r="I73" s="1016">
        <f t="shared" si="95"/>
        <v>64006.666666666672</v>
      </c>
      <c r="J73" s="1017">
        <f t="shared" si="95"/>
        <v>60853</v>
      </c>
      <c r="K73" s="930">
        <f>(G73-H73)/(D73+E73+F73)</f>
        <v>9.2256253611821999E-3</v>
      </c>
      <c r="L73" s="930">
        <f>1-((G73-H73)/(D73+E73+F73))</f>
        <v>0.99077437463881779</v>
      </c>
      <c r="M73" s="990">
        <f t="shared" si="96"/>
        <v>64604</v>
      </c>
      <c r="N73" s="990">
        <f t="shared" si="96"/>
        <v>0</v>
      </c>
      <c r="O73" s="1018">
        <f>O24</f>
        <v>597.33333333332848</v>
      </c>
      <c r="P73" s="1019"/>
      <c r="Q73" s="909"/>
      <c r="R73" s="932">
        <v>16</v>
      </c>
      <c r="S73" s="876" t="s">
        <v>161</v>
      </c>
      <c r="T73" s="990">
        <f t="shared" si="97"/>
        <v>128132.71666666667</v>
      </c>
      <c r="U73" s="990">
        <f t="shared" si="97"/>
        <v>1176.4833333333331</v>
      </c>
      <c r="V73" s="55">
        <f t="shared" si="97"/>
        <v>136.31666666666666</v>
      </c>
      <c r="W73" s="106">
        <f t="shared" si="97"/>
        <v>1177</v>
      </c>
      <c r="X73" s="785">
        <f t="shared" si="97"/>
        <v>0</v>
      </c>
      <c r="Y73" s="1016">
        <f t="shared" si="98"/>
        <v>128268.51666666666</v>
      </c>
      <c r="Z73" s="1017">
        <f t="shared" si="98"/>
        <v>125302</v>
      </c>
      <c r="AA73" s="930">
        <f t="shared" si="41"/>
        <v>9.0926285460382235E-3</v>
      </c>
      <c r="AB73" s="930">
        <f t="shared" si="42"/>
        <v>0.99090737145396179</v>
      </c>
      <c r="AC73" s="990">
        <f t="shared" si="99"/>
        <v>129517</v>
      </c>
      <c r="AD73" s="990">
        <f t="shared" si="99"/>
        <v>0</v>
      </c>
      <c r="AE73" s="1018">
        <f>AE24+O24</f>
        <v>1248.4833333333299</v>
      </c>
      <c r="AF73" s="1019"/>
      <c r="AG73" s="911"/>
      <c r="AH73" s="876">
        <v>16</v>
      </c>
      <c r="AI73" s="876" t="s">
        <v>161</v>
      </c>
      <c r="AJ73" s="990">
        <f t="shared" si="100"/>
        <v>189097.53333333333</v>
      </c>
      <c r="AK73" s="990">
        <f t="shared" si="100"/>
        <v>1679.9166666666665</v>
      </c>
      <c r="AL73" s="57">
        <f t="shared" si="100"/>
        <v>136.31666666666666</v>
      </c>
      <c r="AM73" s="106">
        <f t="shared" si="100"/>
        <v>1845</v>
      </c>
      <c r="AN73" s="785">
        <f t="shared" si="100"/>
        <v>0</v>
      </c>
      <c r="AO73" s="1016">
        <f t="shared" si="101"/>
        <v>189068.76666666666</v>
      </c>
      <c r="AP73" s="1017">
        <f t="shared" si="101"/>
        <v>125302</v>
      </c>
      <c r="AQ73" s="930">
        <f t="shared" si="46"/>
        <v>9.6640490217834822E-3</v>
      </c>
      <c r="AR73" s="930">
        <f t="shared" si="47"/>
        <v>0.99033595097821647</v>
      </c>
      <c r="AS73" s="990">
        <f t="shared" si="102"/>
        <v>190925</v>
      </c>
      <c r="AT73" s="990">
        <f t="shared" si="102"/>
        <v>0</v>
      </c>
      <c r="AU73" s="1018">
        <f>AU24+AE24+O24</f>
        <v>1856.2333333333372</v>
      </c>
      <c r="AV73" s="1019"/>
      <c r="AW73" s="913"/>
      <c r="AX73" s="876">
        <v>16</v>
      </c>
      <c r="AY73" s="876" t="s">
        <v>161</v>
      </c>
      <c r="AZ73" s="990">
        <f t="shared" si="103"/>
        <v>254021.59999999998</v>
      </c>
      <c r="BA73" s="990">
        <f t="shared" si="103"/>
        <v>1697.0499999999997</v>
      </c>
      <c r="BB73" s="57">
        <f t="shared" si="103"/>
        <v>397.5333333333333</v>
      </c>
      <c r="BC73" s="106">
        <f t="shared" si="103"/>
        <v>2388</v>
      </c>
      <c r="BD73" s="785">
        <f t="shared" si="103"/>
        <v>0</v>
      </c>
      <c r="BE73" s="1016">
        <f t="shared" si="103"/>
        <v>253728.18333333335</v>
      </c>
      <c r="BF73" s="930">
        <f t="shared" si="50"/>
        <v>9.323893433520504E-3</v>
      </c>
      <c r="BG73" s="930">
        <f t="shared" si="51"/>
        <v>0.99067610656647953</v>
      </c>
      <c r="BH73" s="990">
        <f>BH24+AS24+AC24+M24</f>
        <v>256331</v>
      </c>
      <c r="BI73" s="990"/>
      <c r="BJ73" s="1018">
        <f>BJ24+AU24+AE24+O24</f>
        <v>2602.8166666666802</v>
      </c>
      <c r="BK73" s="1019"/>
      <c r="BL73" s="914"/>
      <c r="BM73" s="932">
        <v>16</v>
      </c>
      <c r="BN73" s="876" t="s">
        <v>161</v>
      </c>
      <c r="BO73" s="990">
        <f>$BO24+$AZ24+$AJ24+$T24+$D24</f>
        <v>315333.78333333333</v>
      </c>
      <c r="BP73" s="990">
        <f>$BP24+$BA24+$AK24+$U24+$E24</f>
        <v>1697.0499999999997</v>
      </c>
      <c r="BQ73" s="41">
        <f>$BQ24+$BB24+$AL24+$V24+$F24</f>
        <v>397.5333333333333</v>
      </c>
      <c r="BR73" s="106">
        <f>$BR24+$BC24+$AM24+$W24+$G24</f>
        <v>2388</v>
      </c>
      <c r="BS73" s="785">
        <f>$BS24+$BD24+$AN24+$X24+$H24</f>
        <v>0</v>
      </c>
      <c r="BT73" s="1016">
        <f>$BT24+$BE24+$AO24+$Y24+$I24</f>
        <v>315040.36666666664</v>
      </c>
      <c r="BU73" s="930">
        <f t="shared" si="52"/>
        <v>7.5229571480221634E-3</v>
      </c>
      <c r="BV73" s="930">
        <f t="shared" si="53"/>
        <v>0.9924770428519778</v>
      </c>
      <c r="BW73" s="990">
        <f>$BW24+$BH24+$AS24+$AC24+$M24</f>
        <v>318157.66666666663</v>
      </c>
      <c r="BX73" s="990"/>
      <c r="BY73" s="1018">
        <f>$BY24+$BJ24+$AU24+$AE24+$O24</f>
        <v>3117.3000000000175</v>
      </c>
      <c r="BZ73" s="1019"/>
      <c r="CA73" s="915"/>
      <c r="CB73" s="876">
        <v>16</v>
      </c>
      <c r="CC73" s="876" t="s">
        <v>161</v>
      </c>
      <c r="CD73" s="990">
        <f>$BO24+$AZ24+$AJ24+$T24+$D24+$CD24</f>
        <v>378526.53333333333</v>
      </c>
      <c r="CE73" s="990">
        <f>$BP24+$BA24+$AK24+$U24+$E24+$CE24</f>
        <v>1697.0499999999997</v>
      </c>
      <c r="CF73" s="41">
        <f>$BQ24+$BB24+$AL24+$V24+$F24+$CF24</f>
        <v>397.5333333333333</v>
      </c>
      <c r="CG73" s="106">
        <f>$BR24+$BC24+$AM24+$W24+$G24+$CG24</f>
        <v>2388</v>
      </c>
      <c r="CH73" s="785">
        <f>$BS24+$BD24+$AN24+$X24+$H24+$CH24</f>
        <v>0</v>
      </c>
      <c r="CI73" s="1016">
        <f>$BT24+$BE24+$AO24+$Y24+$I24+$CI24</f>
        <v>378233.11666666664</v>
      </c>
      <c r="CJ73" s="930">
        <f t="shared" si="54"/>
        <v>6.2739556357597438E-3</v>
      </c>
      <c r="CK73" s="930">
        <f t="shared" si="55"/>
        <v>0.99372604436424028</v>
      </c>
      <c r="CL73" s="990">
        <f>$BW24+$BH24+$AS24+$AC24+$M24+$CL24</f>
        <v>381904.41666666663</v>
      </c>
      <c r="CM73" s="990"/>
      <c r="CN73" s="1018">
        <f>$BY24+$BJ24+$AU24+$AE24+$O24+$CN24</f>
        <v>3671.3000000000175</v>
      </c>
      <c r="CO73" s="1019"/>
      <c r="CP73" s="919"/>
      <c r="CQ73" s="876">
        <v>16</v>
      </c>
      <c r="CR73" s="876" t="s">
        <v>161</v>
      </c>
      <c r="CS73" s="990">
        <f>$BO24+$AZ24+$AJ24+$T24+$D24+$CD24+$CS24</f>
        <v>442548.69999999995</v>
      </c>
      <c r="CT73" s="990">
        <f>$BP24+$BA24+$AK24+$U24+$E24+$CE24+$CT24</f>
        <v>1697.0499999999997</v>
      </c>
      <c r="CU73" s="41">
        <f>$BQ24+$BB24+$AL24+$V24+$F24+$CF24+$CU24</f>
        <v>397.5333333333333</v>
      </c>
      <c r="CV73" s="106">
        <f>$BR24+$BC24+$AM24+$W24+$G24+$CG24+$CV24</f>
        <v>2388</v>
      </c>
      <c r="CW73" s="785">
        <f>$BS24+$BD24+$AN24+$X24+$H24+$CH24+$CW24</f>
        <v>0</v>
      </c>
      <c r="CX73" s="1016">
        <f>$BT24+$BE24+$AO24+$Y24+$I24+$CI24+$CX24</f>
        <v>442255.28333333333</v>
      </c>
      <c r="CY73" s="930">
        <f t="shared" si="56"/>
        <v>5.3705972619174846E-3</v>
      </c>
      <c r="CZ73" s="930">
        <f t="shared" si="57"/>
        <v>0.99462940273808254</v>
      </c>
      <c r="DA73" s="990">
        <f>$BW24+$BH24+$AS24+$AC24+$M24+$CL24+$DA24</f>
        <v>446453.24999999994</v>
      </c>
      <c r="DB73" s="990"/>
      <c r="DC73" s="1018">
        <f>$BY24+$BJ24+$AU24+$AE24+$O24+$CN24+$DC24</f>
        <v>4197.966666666689</v>
      </c>
      <c r="DD73" s="1019"/>
      <c r="DE73" s="920"/>
      <c r="DF73" s="932">
        <v>16</v>
      </c>
      <c r="DG73" s="876" t="s">
        <v>161</v>
      </c>
      <c r="DH73" s="990">
        <f>$BO24+$AZ24+$AJ24+$T24+$D24+$CD24+$CS24+$DH24</f>
        <v>500659.99999999994</v>
      </c>
      <c r="DI73" s="990">
        <f>$BP24+$BA24+$AK24+$U24+$E24+$CE24+$CT24+$DJ24</f>
        <v>1697.0499999999997</v>
      </c>
      <c r="DJ73" s="41">
        <f>$BQ24+$BB24+$AL24+$V24+$F24+$CF24+$CU24+$DJ24</f>
        <v>397.5333333333333</v>
      </c>
      <c r="DK73" s="106">
        <f>$BR24+$BC24+$AM24+$W24+$G24+$CG24+$CV24+$DK24</f>
        <v>2388</v>
      </c>
      <c r="DL73" s="785">
        <f>$BS24+$BD24+$AN24+$X24+$H24+$CH24+$CW24+DL24</f>
        <v>0</v>
      </c>
      <c r="DM73" s="1016">
        <f>$BT24+$BE24+$AO24+$Y24+$I24+$CI24+$CX24+DM24</f>
        <v>500366.58333333331</v>
      </c>
      <c r="DN73" s="930">
        <f t="shared" si="58"/>
        <v>4.7498323817700989E-3</v>
      </c>
      <c r="DO73" s="930">
        <f t="shared" si="59"/>
        <v>0.99525016761822993</v>
      </c>
      <c r="DP73" s="990">
        <f>$BW24+$BH24+$AS24+$AC24+$M24+$CL24+$DA24+$DP24</f>
        <v>506433.91666666663</v>
      </c>
      <c r="DQ73" s="990"/>
      <c r="DR73" s="1020">
        <f>$BY24+$BJ24+$AU24+$AE24+$O24+$CN24+$DC24+$DR24</f>
        <v>6067.3333333333503</v>
      </c>
      <c r="DS73" s="1019"/>
      <c r="DT73" s="921"/>
      <c r="DU73" s="932">
        <v>16</v>
      </c>
      <c r="DV73" s="876" t="s">
        <v>161</v>
      </c>
      <c r="DW73" s="990">
        <f>$BO24+$AZ24+$AJ24+$T24+$D24+$CD24+$CS24+$DH24+$DW24</f>
        <v>564219.71666666656</v>
      </c>
      <c r="DX73" s="990">
        <f>$BP24+$BA24+$AK24+$U24+$E24+$CE24+$CT24+$DJ24+$DX24</f>
        <v>1697.0499999999997</v>
      </c>
      <c r="DY73" s="41">
        <f>$BQ24+$BB24+$AL24+$V24+$F24+$CF24+$CU24+$DJ24+$DY24</f>
        <v>397.5333333333333</v>
      </c>
      <c r="DZ73" s="106">
        <f>$BR24+$BC24+$AM24+$W24+$G24+$CG24+$CV24+$DK24+$DZ24</f>
        <v>2388</v>
      </c>
      <c r="EA73" s="785">
        <f>$BS24+$BD24+$AN24+$X24+$H24+$CH24+$CW24+$DL24+$EA24</f>
        <v>0</v>
      </c>
      <c r="EB73" s="1016">
        <f>$BT24+$BE24+$AO24+$Y24+$I24+$CI24+$CX24+$DM24+$EB24</f>
        <v>563926.29999999993</v>
      </c>
      <c r="EC73" s="930">
        <f t="shared" si="60"/>
        <v>4.216739715031035E-3</v>
      </c>
      <c r="ED73" s="930">
        <f t="shared" si="61"/>
        <v>0.995783260284969</v>
      </c>
      <c r="EE73" s="990">
        <f>$BW24+$BH24+$AS24+$AC24+$M24+$CL24+$DA24+$DP24+$EE24</f>
        <v>569062.66666666663</v>
      </c>
      <c r="EF73" s="990"/>
      <c r="EG73" s="1020">
        <f>$BY24+$BJ24+$AU24+$AE24+$O24+$CN24+$DC24+$DR24+$EG24</f>
        <v>5136.3666666666904</v>
      </c>
      <c r="EH73" s="1019"/>
      <c r="EI73" s="941"/>
      <c r="EJ73" s="876">
        <v>16</v>
      </c>
      <c r="EK73" s="876" t="s">
        <v>161</v>
      </c>
      <c r="EL73" s="990">
        <f>$BO24+$AZ24+$AJ24+$T24+$D24+$CD24+$CS24+$DH24+$DW24+$EL24</f>
        <v>626834.33333333326</v>
      </c>
      <c r="EM73" s="990">
        <f>$BP24+$BA24+$AK24+$U24+$E24+$CE24+$CT24+$DJ24+$DX24+$EM24</f>
        <v>1697.0499999999997</v>
      </c>
      <c r="EN73" s="41">
        <f>$BQ24+$BB24+$AL24+$V24+$F24+$CF24+$CU24+$DJ24+$DY24+$EN24</f>
        <v>397.5333333333333</v>
      </c>
      <c r="EO73" s="106">
        <f>$BR24+$BC24+$AM24+$W24+$G24+$CG24+$CV24+$DK24+$DZ24+$EO24</f>
        <v>2388</v>
      </c>
      <c r="EP73" s="785">
        <f>$BS24+$BD24+$AN24+$X24+$H24+$CH24+$CW24+$DL24+$EA24+$EP24</f>
        <v>0</v>
      </c>
      <c r="EQ73" s="1016">
        <f>$BT24+$BE24+$AO24+$Y24+$I24+$CI24+$CX24+$DM24+$EB24+$EQ24</f>
        <v>626540.91666666663</v>
      </c>
      <c r="ER73" s="930">
        <f t="shared" si="62"/>
        <v>3.7969314762253872E-3</v>
      </c>
      <c r="ES73" s="930">
        <f t="shared" si="63"/>
        <v>0.9962030685237746</v>
      </c>
      <c r="ET73" s="990">
        <f>$BW24+$BH24+$AS24+$AC24+$M24+$CL24+$DA24+$DP24+$EE24+$ET24</f>
        <v>632239.5</v>
      </c>
      <c r="EU73" s="990"/>
      <c r="EV73" s="1020">
        <f>$BY24+$BJ24+$AU24+$AE24+$O24+$CN24+$DC24+$DR24+$EG24+$EV24</f>
        <v>5698.583333333343</v>
      </c>
      <c r="EW73" s="1019"/>
      <c r="EX73" s="925"/>
      <c r="EY73" s="932">
        <v>16</v>
      </c>
      <c r="EZ73" s="876" t="s">
        <v>161</v>
      </c>
      <c r="FA73" s="990">
        <f>$BO24+$AZ24+$AJ24+$T24+$D24+$CD24+$CS24+$DH24+$DW24+$EL24+$FA24</f>
        <v>690437.39999999991</v>
      </c>
      <c r="FB73" s="990">
        <f>$BP24+$BA24+$AK24+$U24+$E24+$CE24+$CT24+$DJ24+$DX24+$EM24+$FB24</f>
        <v>1697.0499999999997</v>
      </c>
      <c r="FC73" s="41">
        <f>$BQ24+$BB24+$AL24+$V24+$F24+$CF24+$CU24+$DJ24+$DY24+$EN24+$FC24</f>
        <v>397.5333333333333</v>
      </c>
      <c r="FD73" s="106">
        <f>$BR24+$BC24+$AM24+$W24+$G24+$CG24+$CV24+$DK24+$DZ24+$EO24+$FD24</f>
        <v>2388</v>
      </c>
      <c r="FE73" s="785">
        <f>$BS24+$BD24+$AN24+$X24+$H24+$CH24+$CW24+$DL24+$EA24+$EP24+$FE24</f>
        <v>0</v>
      </c>
      <c r="FF73" s="1016">
        <f>$BT24+$BE24+$AO24+$Y24+$I24+$CI24+$CX24+$DM24+$EB24+$EQ24+$FF24</f>
        <v>690143.98333333328</v>
      </c>
      <c r="FG73" s="930">
        <f t="shared" si="67"/>
        <v>3.4482161942989927E-3</v>
      </c>
      <c r="FH73" s="930">
        <f t="shared" si="64"/>
        <v>0.99655178380570097</v>
      </c>
      <c r="FI73" s="990">
        <f>$BW24+$BH24+$AS24+$AC24+$M24+$CL24+$DA24+$DP24+$EE24+$ET24+$FI24</f>
        <v>697777.25</v>
      </c>
      <c r="FJ73" s="990"/>
      <c r="FK73" s="1020">
        <f>$BY24+$BJ24+$AU24+$AE24+$O24+$CN24+$DC24+$DR24+$EG24+$EV24+$FK24</f>
        <v>7633.2666666666773</v>
      </c>
      <c r="FL73" s="1019"/>
      <c r="FM73" s="927"/>
      <c r="FN73" s="932">
        <v>16</v>
      </c>
      <c r="FO73" s="876" t="s">
        <v>161</v>
      </c>
      <c r="FP73" s="990">
        <f>$BO24+$AZ24+$AJ24+$T24+$D24+$CD24+$CS24+$DH24+$DW24+$EL24+$FA24+$FP24</f>
        <v>752213.31666666653</v>
      </c>
      <c r="FQ73" s="990">
        <f>$BP24+$BA24+$AK24+$U24+$E24+$CE24+$CT24+DI24+$DX24+$EM24+$FB24+$FQ24</f>
        <v>1697.0499999999997</v>
      </c>
      <c r="FR73" s="41">
        <f>$BQ24+$BB24+$AL24+$V24+$F24+$CF24+$CU24+$DJ24+$DY24+$EN24+$FC24+$FR24</f>
        <v>397.5333333333333</v>
      </c>
      <c r="FS73" s="106">
        <f>$BR24+$BC24+$AM24+$W24+$G24+$CG24+$CV24+$DK24+$DZ24+$EO24+$FD24+$FS24</f>
        <v>2388</v>
      </c>
      <c r="FT73" s="785">
        <f>$BS24+$BD24+$AN24+$X24+$H24+$CH24+$CW24+$DL24+$EA24+$EP24+$FE24+$FT24</f>
        <v>0</v>
      </c>
      <c r="FU73" s="1016">
        <f>$BT24+$BE24+$AO24+$Y24+$I24+$CI24+$CX24+$DM24+$EB24+$EQ24+$FF24+$FU24</f>
        <v>751919.89999999991</v>
      </c>
      <c r="FV73" s="930">
        <f t="shared" si="65"/>
        <v>3.1658159751475497E-3</v>
      </c>
      <c r="FW73" s="930">
        <f t="shared" si="66"/>
        <v>0.99683418402485247</v>
      </c>
      <c r="FX73" s="990">
        <f>$BW24+$BH24+$AS24+$AC24+$M24+$CL24+$DA24+$DP24+$EE24+$ET24+$FI24+$FX24</f>
        <v>758670</v>
      </c>
      <c r="FY73" s="990"/>
      <c r="FZ73" s="1020">
        <f>$BY24+$BJ24+$AU24+$AE24+$O24+$CN24+$DC24+$DR24+$EG24+$EV24+$FK24+$FZ24</f>
        <v>6750.1000000000131</v>
      </c>
      <c r="GA73" s="1019"/>
    </row>
    <row r="74" spans="1:183">
      <c r="A74" s="906"/>
      <c r="B74" s="907"/>
      <c r="C74" s="876"/>
      <c r="D74" s="990"/>
      <c r="E74" s="990"/>
      <c r="F74" s="55"/>
      <c r="G74" s="106"/>
      <c r="H74" s="785"/>
      <c r="I74" s="1016"/>
      <c r="J74" s="1017"/>
      <c r="K74" s="930"/>
      <c r="L74" s="930"/>
      <c r="M74" s="990"/>
      <c r="N74" s="990"/>
      <c r="O74" s="1018"/>
      <c r="P74" s="1019"/>
      <c r="Q74" s="909"/>
      <c r="R74" s="909"/>
      <c r="S74" s="876"/>
      <c r="T74" s="990"/>
      <c r="U74" s="990"/>
      <c r="V74" s="55"/>
      <c r="W74" s="106"/>
      <c r="X74" s="785"/>
      <c r="Y74" s="1016"/>
      <c r="Z74" s="1017"/>
      <c r="AA74" s="930"/>
      <c r="AB74" s="930"/>
      <c r="AC74" s="990"/>
      <c r="AD74" s="990"/>
      <c r="AE74" s="1018"/>
      <c r="AF74" s="1019"/>
      <c r="AG74" s="911"/>
      <c r="AH74" s="912"/>
      <c r="AI74" s="876"/>
      <c r="AJ74" s="990"/>
      <c r="AK74" s="990"/>
      <c r="AL74" s="57"/>
      <c r="AM74" s="106"/>
      <c r="AN74" s="785"/>
      <c r="AO74" s="1016"/>
      <c r="AP74" s="1017"/>
      <c r="AQ74" s="930"/>
      <c r="AR74" s="930"/>
      <c r="AS74" s="990"/>
      <c r="AT74" s="990"/>
      <c r="AU74" s="1018"/>
      <c r="AV74" s="1019"/>
      <c r="AW74" s="913"/>
      <c r="AX74" s="876"/>
      <c r="AY74" s="876"/>
      <c r="AZ74" s="990"/>
      <c r="BA74" s="990"/>
      <c r="BB74" s="57"/>
      <c r="BC74" s="106"/>
      <c r="BD74" s="785"/>
      <c r="BE74" s="1016"/>
      <c r="BF74" s="930"/>
      <c r="BG74" s="930"/>
      <c r="BH74" s="990"/>
      <c r="BI74" s="990"/>
      <c r="BJ74" s="1018"/>
      <c r="BK74" s="1019"/>
      <c r="BL74" s="914"/>
      <c r="BM74" s="932"/>
      <c r="BN74" s="876"/>
      <c r="BO74" s="990"/>
      <c r="BP74" s="990"/>
      <c r="BQ74" s="41"/>
      <c r="BR74" s="106"/>
      <c r="BS74" s="785"/>
      <c r="BT74" s="1016"/>
      <c r="BU74" s="930"/>
      <c r="BV74" s="930"/>
      <c r="BW74" s="990"/>
      <c r="BX74" s="990"/>
      <c r="BY74" s="1018"/>
      <c r="BZ74" s="1019"/>
      <c r="CA74" s="915"/>
      <c r="CB74" s="876"/>
      <c r="CC74" s="876"/>
      <c r="CD74" s="990"/>
      <c r="CE74" s="990"/>
      <c r="CF74" s="41"/>
      <c r="CG74" s="106"/>
      <c r="CH74" s="785"/>
      <c r="CI74" s="1016"/>
      <c r="CJ74" s="930"/>
      <c r="CK74" s="930"/>
      <c r="CL74" s="990"/>
      <c r="CM74" s="990"/>
      <c r="CN74" s="1018"/>
      <c r="CO74" s="1019"/>
      <c r="CP74" s="919"/>
      <c r="CQ74" s="876"/>
      <c r="CR74" s="876"/>
      <c r="CS74" s="990"/>
      <c r="CT74" s="990"/>
      <c r="CU74" s="41"/>
      <c r="CV74" s="106"/>
      <c r="CW74" s="785"/>
      <c r="CX74" s="1016"/>
      <c r="CY74" s="930"/>
      <c r="CZ74" s="930"/>
      <c r="DA74" s="990"/>
      <c r="DB74" s="990"/>
      <c r="DC74" s="1018"/>
      <c r="DD74" s="1019"/>
      <c r="DE74" s="920"/>
      <c r="DF74" s="932"/>
      <c r="DG74" s="876"/>
      <c r="DH74" s="990"/>
      <c r="DI74" s="990"/>
      <c r="DJ74" s="41"/>
      <c r="DK74" s="106"/>
      <c r="DL74" s="785"/>
      <c r="DM74" s="1016"/>
      <c r="DN74" s="930"/>
      <c r="DO74" s="930"/>
      <c r="DP74" s="990"/>
      <c r="DQ74" s="990"/>
      <c r="DR74" s="1020"/>
      <c r="DS74" s="1019"/>
      <c r="DT74" s="921"/>
      <c r="DU74" s="921"/>
      <c r="DV74" s="876"/>
      <c r="DW74" s="990"/>
      <c r="DX74" s="990"/>
      <c r="DY74" s="41"/>
      <c r="DZ74" s="106"/>
      <c r="EA74" s="785"/>
      <c r="EB74" s="1016"/>
      <c r="EC74" s="930"/>
      <c r="ED74" s="930"/>
      <c r="EE74" s="990"/>
      <c r="EF74" s="990"/>
      <c r="EG74" s="1020"/>
      <c r="EH74" s="1019"/>
      <c r="EI74" s="941"/>
      <c r="EJ74" s="1021"/>
      <c r="EK74" s="876"/>
      <c r="EL74" s="990"/>
      <c r="EM74" s="990"/>
      <c r="EN74" s="41"/>
      <c r="EO74" s="106"/>
      <c r="EP74" s="785"/>
      <c r="EQ74" s="1016"/>
      <c r="ER74" s="930"/>
      <c r="ES74" s="930"/>
      <c r="ET74" s="990"/>
      <c r="EU74" s="990"/>
      <c r="EV74" s="1020"/>
      <c r="EW74" s="1019"/>
      <c r="EX74" s="925"/>
      <c r="EY74" s="925"/>
      <c r="EZ74" s="876"/>
      <c r="FA74" s="990"/>
      <c r="FB74" s="990"/>
      <c r="FC74" s="41"/>
      <c r="FD74" s="106"/>
      <c r="FE74" s="785"/>
      <c r="FF74" s="1016"/>
      <c r="FG74" s="930"/>
      <c r="FH74" s="930"/>
      <c r="FI74" s="990"/>
      <c r="FJ74" s="990"/>
      <c r="FK74" s="1020"/>
      <c r="FL74" s="1019"/>
      <c r="FM74" s="927"/>
      <c r="FN74" s="927"/>
      <c r="FO74" s="876"/>
      <c r="FP74" s="990"/>
      <c r="FQ74" s="990"/>
      <c r="FR74" s="41"/>
      <c r="FS74" s="106"/>
      <c r="FT74" s="785"/>
      <c r="FU74" s="1016"/>
      <c r="FV74" s="930"/>
      <c r="FW74" s="930"/>
      <c r="FX74" s="990"/>
      <c r="FY74" s="990"/>
      <c r="FZ74" s="1020"/>
      <c r="GA74" s="1019"/>
    </row>
    <row r="75" spans="1:183" ht="13.5" thickBot="1">
      <c r="A75" s="949"/>
      <c r="B75" s="950"/>
      <c r="C75" s="14" t="s">
        <v>57</v>
      </c>
      <c r="D75" s="26">
        <f t="shared" ref="D75:J75" si="104">SUM(D55:D56,D59:D60,D63:D64,D67:D68,D71:D73)</f>
        <v>577924.65000000014</v>
      </c>
      <c r="E75" s="26">
        <f t="shared" si="104"/>
        <v>2991.4666666666662</v>
      </c>
      <c r="F75" s="26">
        <f t="shared" si="104"/>
        <v>1531.2166666666665</v>
      </c>
      <c r="G75" s="26">
        <f t="shared" si="104"/>
        <v>4956</v>
      </c>
      <c r="H75" s="117">
        <f t="shared" si="104"/>
        <v>0</v>
      </c>
      <c r="I75" s="92">
        <f t="shared" si="104"/>
        <v>577491.33333333337</v>
      </c>
      <c r="J75" s="70">
        <f t="shared" si="104"/>
        <v>551131</v>
      </c>
      <c r="K75" s="32">
        <f>(G75-H75)/(D75+E75+F75)</f>
        <v>8.5089238397520334E-3</v>
      </c>
      <c r="L75" s="32">
        <f>1-((G75-H75)/(D75+E75+F75))</f>
        <v>0.99149107616024801</v>
      </c>
      <c r="M75" s="26">
        <f>SUM(M55:M56,M59:M60,M63:M64,M67:M68,M71:M73)</f>
        <v>582991</v>
      </c>
      <c r="N75" s="26">
        <f>SUM(N54,N58,N62,N66,N70)</f>
        <v>4664</v>
      </c>
      <c r="O75" s="27">
        <f>SUM(O54,O58,O62,O66,O70)</f>
        <v>5499.6666666666533</v>
      </c>
      <c r="P75" s="28">
        <f>M26+N26-I26</f>
        <v>10163.666666666628</v>
      </c>
      <c r="Q75" s="952"/>
      <c r="R75" s="952"/>
      <c r="S75" s="14" t="s">
        <v>57</v>
      </c>
      <c r="T75" s="26">
        <f t="shared" ref="T75:Z75" si="105">SUM(T55:T56,T59:T60,T63:T64,T67:T68,T71:T73)</f>
        <v>1158773.6333333333</v>
      </c>
      <c r="U75" s="26">
        <f t="shared" si="105"/>
        <v>5528.1666666666661</v>
      </c>
      <c r="V75" s="26">
        <f t="shared" si="105"/>
        <v>3173.6166666666663</v>
      </c>
      <c r="W75" s="26">
        <f t="shared" si="105"/>
        <v>10196</v>
      </c>
      <c r="X75" s="117">
        <f t="shared" si="105"/>
        <v>0</v>
      </c>
      <c r="Y75" s="92">
        <f t="shared" si="105"/>
        <v>1157279.4166666667</v>
      </c>
      <c r="Z75" s="70">
        <f t="shared" si="105"/>
        <v>1133600</v>
      </c>
      <c r="AA75" s="32">
        <f t="shared" si="41"/>
        <v>8.7333744714824472E-3</v>
      </c>
      <c r="AB75" s="32">
        <f t="shared" si="42"/>
        <v>0.99126662552851752</v>
      </c>
      <c r="AC75" s="26">
        <f>SUM(AC55:AC56,AC59:AC60,AC63:AC64,AC67:AC68,AC71:AC73)</f>
        <v>1168843</v>
      </c>
      <c r="AD75" s="26">
        <f>SUM(AD54,AD58,AD62,AD66,AD70)</f>
        <v>9328</v>
      </c>
      <c r="AE75" s="27">
        <f>SUM(AE54,AE58,AE62,AE66,AE70)</f>
        <v>11563.58333333333</v>
      </c>
      <c r="AF75" s="28">
        <f>AC26+AD26-Y26+M26+N26-I26</f>
        <v>20891.583333333372</v>
      </c>
      <c r="AG75" s="955"/>
      <c r="AH75" s="1022"/>
      <c r="AI75" s="14" t="s">
        <v>57</v>
      </c>
      <c r="AJ75" s="26">
        <f t="shared" ref="AJ75:AP75" si="106">SUM(AJ55:AJ56,AJ59:AJ60,AJ63:AJ64,AJ67:AJ68,AJ71:AJ73)</f>
        <v>1707215.0333333332</v>
      </c>
      <c r="AK75" s="26">
        <f t="shared" si="106"/>
        <v>7302.5833333333339</v>
      </c>
      <c r="AL75" s="26">
        <f t="shared" si="106"/>
        <v>4054.6166666666659</v>
      </c>
      <c r="AM75" s="26">
        <f t="shared" si="106"/>
        <v>15414</v>
      </c>
      <c r="AN75" s="117">
        <f t="shared" si="106"/>
        <v>0</v>
      </c>
      <c r="AO75" s="92">
        <f t="shared" si="106"/>
        <v>1703158.2333333334</v>
      </c>
      <c r="AP75" s="70">
        <f t="shared" si="106"/>
        <v>1133600</v>
      </c>
      <c r="AQ75" s="32">
        <f t="shared" si="46"/>
        <v>8.9690731067515808E-3</v>
      </c>
      <c r="AR75" s="32">
        <f t="shared" si="47"/>
        <v>0.99103092689324845</v>
      </c>
      <c r="AS75" s="26">
        <f>SUM(AS55:AS56,AS59:AS60,AS63:AS64,AS67:AS68,AS71:AS73)</f>
        <v>1720524</v>
      </c>
      <c r="AT75" s="26">
        <f>SUM(AT54,AT58,AT62,AT66,AT70)</f>
        <v>13992</v>
      </c>
      <c r="AU75" s="27">
        <f>SUM(AU54,AU58,AU62,AU66,AU70)</f>
        <v>17365.766666666688</v>
      </c>
      <c r="AV75" s="28">
        <f>AS26+AT26-AO26+AC26+AD26-Y26+M26+N26-I26</f>
        <v>31357.766666666721</v>
      </c>
      <c r="AW75" s="956"/>
      <c r="AX75" s="948"/>
      <c r="AY75" s="14" t="s">
        <v>57</v>
      </c>
      <c r="AZ75" s="26">
        <f t="shared" ref="AZ75:BE75" si="107">SUM(AZ55:AZ56,AZ59:AZ60,AZ63:AZ64,AZ67:AZ68,AZ71:AZ73)</f>
        <v>2296659.35</v>
      </c>
      <c r="BA75" s="26">
        <f t="shared" si="107"/>
        <v>8079.866666666665</v>
      </c>
      <c r="BB75" s="26">
        <f t="shared" si="107"/>
        <v>4712.3333333333321</v>
      </c>
      <c r="BC75" s="26">
        <f t="shared" si="107"/>
        <v>20592</v>
      </c>
      <c r="BD75" s="117">
        <f t="shared" si="107"/>
        <v>0</v>
      </c>
      <c r="BE75" s="92">
        <f t="shared" si="107"/>
        <v>2288859.5499999998</v>
      </c>
      <c r="BF75" s="32">
        <f t="shared" si="50"/>
        <v>8.9164026844382148E-3</v>
      </c>
      <c r="BG75" s="32">
        <f t="shared" si="51"/>
        <v>0.99108359731556184</v>
      </c>
      <c r="BH75" s="26">
        <f>SUM(BH55:BH56,BH59:BH60,BH63:BH64,BH67:BH68,BH71:BH73)</f>
        <v>2312647</v>
      </c>
      <c r="BI75" s="26">
        <f>SUM(BI54,BI58,BI62,BI66,BI70)</f>
        <v>18656</v>
      </c>
      <c r="BJ75" s="27">
        <f>SUM(BJ54,BJ58,BJ62,BJ66,BJ70)</f>
        <v>23787.450000000037</v>
      </c>
      <c r="BK75" s="44">
        <f>M26+N26-I26+BH26+BI26-BE26+AS26+AT26-AO26+AC26+AD26-Y26</f>
        <v>42443.45000000007</v>
      </c>
      <c r="BL75" s="958"/>
      <c r="BM75" s="953"/>
      <c r="BN75" s="14" t="s">
        <v>57</v>
      </c>
      <c r="BO75" s="26">
        <f t="shared" ref="BO75:BT75" si="108">SUM(BO55:BO56,BO59:BO60,BO63:BO64,BO67:BO68,BO71:BO73)</f>
        <v>2847933.2833333332</v>
      </c>
      <c r="BP75" s="26">
        <f t="shared" si="108"/>
        <v>8079.866666666665</v>
      </c>
      <c r="BQ75" s="26">
        <f t="shared" si="108"/>
        <v>4712.3333333333321</v>
      </c>
      <c r="BR75" s="26">
        <f t="shared" si="108"/>
        <v>20592</v>
      </c>
      <c r="BS75" s="117">
        <f t="shared" si="108"/>
        <v>0</v>
      </c>
      <c r="BT75" s="92">
        <f t="shared" si="108"/>
        <v>2840133.4833333329</v>
      </c>
      <c r="BU75" s="32">
        <f t="shared" si="52"/>
        <v>7.1981740715666596E-3</v>
      </c>
      <c r="BV75" s="32">
        <f t="shared" si="53"/>
        <v>0.99280182592843336</v>
      </c>
      <c r="BW75" s="26">
        <f>SUM(BW55:BW56,BW59:BW60,BW63:BW64,BW67:BW68,BW71:BW73)</f>
        <v>2866623.853333333</v>
      </c>
      <c r="BX75" s="26">
        <f>SUM(BX54,BX58,BX62,BX66,BX70)</f>
        <v>23320</v>
      </c>
      <c r="BY75" s="27">
        <f>SUM(BY54,BY58,BY62,BY66,BY70)</f>
        <v>26490.370000000032</v>
      </c>
      <c r="BZ75" s="44">
        <f>$AC26+$AD26-$Y26+$BW26+$BX26-$BT26+$BH26+$BI26-$BE26+$AS26+$AT26-$AO26+$M26+$N26-$I26</f>
        <v>49810.370000000112</v>
      </c>
      <c r="CA75" s="961"/>
      <c r="CB75" s="948"/>
      <c r="CC75" s="14" t="s">
        <v>57</v>
      </c>
      <c r="CD75" s="26">
        <f t="shared" ref="CD75:CI75" si="109">SUM(CD55:CD56,CD59:CD60,CD63:CD64,CD67:CD68,CD71:CD73)</f>
        <v>3417238.4333333331</v>
      </c>
      <c r="CE75" s="26">
        <f t="shared" si="109"/>
        <v>8079.866666666665</v>
      </c>
      <c r="CF75" s="26">
        <f t="shared" si="109"/>
        <v>4712.3333333333321</v>
      </c>
      <c r="CG75" s="26">
        <f t="shared" si="109"/>
        <v>20592</v>
      </c>
      <c r="CH75" s="117">
        <f t="shared" si="109"/>
        <v>0</v>
      </c>
      <c r="CI75" s="92">
        <f t="shared" si="109"/>
        <v>3409438.6333333333</v>
      </c>
      <c r="CJ75" s="32">
        <f t="shared" si="54"/>
        <v>6.0034449255015887E-3</v>
      </c>
      <c r="CK75" s="32">
        <f t="shared" si="55"/>
        <v>0.99399655507449847</v>
      </c>
      <c r="CL75" s="26">
        <f>SUM(CL55:CL56,CL59:CL60,CL63:CL64,CL67:CL68,CL71:CL73)</f>
        <v>3438947.7033333336</v>
      </c>
      <c r="CM75" s="26">
        <f>SUM(CM54,CM58,CM62,CM66,CM70)</f>
        <v>27984</v>
      </c>
      <c r="CN75" s="27">
        <f>SUM(CN54,CN58,CN62,CN66,CN70)</f>
        <v>29509.070000000043</v>
      </c>
      <c r="CO75" s="44">
        <f>$AC26+$AD26-$Y26+$BW26+$BX26-$BT26+$BH26+$BI26-$BE26+$AS26+$AT26-$AO26+$M26+$N26-$I26+$CL26+$CM26-$CI26</f>
        <v>57493.070000000182</v>
      </c>
      <c r="CP75" s="963"/>
      <c r="CQ75" s="1023"/>
      <c r="CR75" s="14" t="s">
        <v>57</v>
      </c>
      <c r="CS75" s="26">
        <f t="shared" ref="CS75:CX75" si="110">SUM(CS55:CS56,CS59:CS60,CS63:CS64,CS67:CS68,CS71:CS73)</f>
        <v>3996305.0333333332</v>
      </c>
      <c r="CT75" s="26">
        <f t="shared" si="110"/>
        <v>8079.866666666665</v>
      </c>
      <c r="CU75" s="26">
        <f t="shared" si="110"/>
        <v>4712.3333333333321</v>
      </c>
      <c r="CV75" s="26">
        <f t="shared" si="110"/>
        <v>20592</v>
      </c>
      <c r="CW75" s="117">
        <f t="shared" si="110"/>
        <v>0</v>
      </c>
      <c r="CX75" s="92">
        <f t="shared" si="110"/>
        <v>3988505.2333333329</v>
      </c>
      <c r="CY75" s="32">
        <f t="shared" si="56"/>
        <v>5.1363184281961001E-3</v>
      </c>
      <c r="CZ75" s="32">
        <f t="shared" si="57"/>
        <v>0.99486368157180394</v>
      </c>
      <c r="DA75" s="26">
        <f>SUM(DA55:DA56,DA59:DA60,DA63:DA64,DA67:DA68,DA71:DA73)</f>
        <v>4021127.7366666663</v>
      </c>
      <c r="DB75" s="26">
        <f>SUM(DB54,DB58,DB62,DB66,DB70)</f>
        <v>32648</v>
      </c>
      <c r="DC75" s="27">
        <f>SUM(DC54,DC58,DC62,DC66,DC70)</f>
        <v>32622.503333333429</v>
      </c>
      <c r="DD75" s="44">
        <f>$AC26+$AD26-$Y26+$BW26+$BX26-$BT26+$BH26+$BI26-$BE26+$AS26+$AT26-$AO26+$M26+$N26-$I26+$CL26+$CM26-$CI26+$DA26+$DB26-$CX26</f>
        <v>65270.50333333353</v>
      </c>
      <c r="DE75" s="964"/>
      <c r="DF75" s="953"/>
      <c r="DG75" s="14" t="s">
        <v>57</v>
      </c>
      <c r="DH75" s="26">
        <f t="shared" ref="DH75:DM75" si="111">SUM(DH55:DH56,DH59:DH60,DH63:DH64,DH67:DH68,DH71:DH73)</f>
        <v>4522067.9666666659</v>
      </c>
      <c r="DI75" s="26">
        <f t="shared" si="111"/>
        <v>8079.866666666665</v>
      </c>
      <c r="DJ75" s="26">
        <f t="shared" si="111"/>
        <v>4712.3333333333321</v>
      </c>
      <c r="DK75" s="26">
        <f t="shared" si="111"/>
        <v>20592</v>
      </c>
      <c r="DL75" s="117">
        <f t="shared" si="111"/>
        <v>0</v>
      </c>
      <c r="DM75" s="92">
        <f t="shared" si="111"/>
        <v>4514268.166666667</v>
      </c>
      <c r="DN75" s="32">
        <f t="shared" si="58"/>
        <v>4.5408235851153236E-3</v>
      </c>
      <c r="DO75" s="32">
        <f t="shared" si="59"/>
        <v>0.99545917641488468</v>
      </c>
      <c r="DP75" s="26">
        <f>SUM(DP55:DP56,DP59:DP60,DP63:DP64,DP67:DP68,DP71:DP73)</f>
        <v>4560737.4033333333</v>
      </c>
      <c r="DQ75" s="26">
        <f>SUM(DQ54,DQ58,DQ62,DQ66,DQ70)</f>
        <v>37312</v>
      </c>
      <c r="DR75" s="27">
        <f>SUM(DR54,DR58,DR62,DR66,DR70)</f>
        <v>46469.236666666766</v>
      </c>
      <c r="DS75" s="44">
        <f>$AC26+$AD26-$Y26+$BW26+$BX26-$BT26+$BH26+$BI26-$BE26+$AS26+$AT26-$AO26+$M26+$N26-$I26+$CL26+$CM26-$CI26+$DA26+$DB26-$CX26+$DP26+$DQ26-$DM26</f>
        <v>83781.236666666926</v>
      </c>
      <c r="DT75" s="965"/>
      <c r="DU75" s="965"/>
      <c r="DV75" s="14" t="s">
        <v>57</v>
      </c>
      <c r="DW75" s="26">
        <f t="shared" ref="DW75:EB75" si="112">SUM(DW55:DW56,DW59:DW60,DW63:DW64,DW67:DW68,DW71:DW73)</f>
        <v>5094372.5</v>
      </c>
      <c r="DX75" s="26">
        <f t="shared" si="112"/>
        <v>8079.866666666665</v>
      </c>
      <c r="DY75" s="26">
        <f t="shared" si="112"/>
        <v>4712.3333333333321</v>
      </c>
      <c r="DZ75" s="26">
        <f t="shared" si="112"/>
        <v>20592</v>
      </c>
      <c r="EA75" s="117">
        <f t="shared" si="112"/>
        <v>0</v>
      </c>
      <c r="EB75" s="92">
        <f t="shared" si="112"/>
        <v>5086572.7</v>
      </c>
      <c r="EC75" s="32">
        <f t="shared" si="60"/>
        <v>4.0319827555199078E-3</v>
      </c>
      <c r="ED75" s="32">
        <f t="shared" si="61"/>
        <v>0.99596801724448014</v>
      </c>
      <c r="EE75" s="26">
        <f>SUM(EE55:EE56,EE59:EE60,EE63:EE64,EE67:EE68,EE71:EE73)</f>
        <v>5124572.2533333329</v>
      </c>
      <c r="EF75" s="26">
        <f>SUM(EF54,EF58,EF62,EF66,EF70)</f>
        <v>41976</v>
      </c>
      <c r="EG75" s="27">
        <f>SUM(EG54,EG58,EG62,EG66,EG70)</f>
        <v>37999.553333333402</v>
      </c>
      <c r="EH75" s="44">
        <f>$AC26+$AD26-$Y26+$BW26+$BX26-$BT26+$BH26+$BI26-$BE26+$AS26+$AT26-$AO26+$M26+$N26-$I26+$CL26+$CM26-$CI26+$DA26+$DB26-$CX26+$DP26+$DQ26-$DM26+$EE26+$EF26-$EB26</f>
        <v>79975.553333333461</v>
      </c>
      <c r="EI75" s="966"/>
      <c r="EJ75" s="1024"/>
      <c r="EK75" s="14" t="s">
        <v>57</v>
      </c>
      <c r="EL75" s="26">
        <f t="shared" ref="EL75:EQ75" si="113">SUM(EL55:EL56,EL59:EL60,EL63:EL64,EL67:EL68,EL71:EL73)</f>
        <v>5662248.8500000006</v>
      </c>
      <c r="EM75" s="26">
        <f t="shared" si="113"/>
        <v>8079.866666666665</v>
      </c>
      <c r="EN75" s="26">
        <f t="shared" si="113"/>
        <v>4712.3333333333321</v>
      </c>
      <c r="EO75" s="26">
        <f t="shared" si="113"/>
        <v>20592</v>
      </c>
      <c r="EP75" s="117">
        <f t="shared" si="113"/>
        <v>0</v>
      </c>
      <c r="EQ75" s="92">
        <f t="shared" si="113"/>
        <v>5654449.0499999998</v>
      </c>
      <c r="ER75" s="32">
        <f t="shared" si="62"/>
        <v>3.6285200086790563E-3</v>
      </c>
      <c r="ES75" s="32">
        <f t="shared" si="63"/>
        <v>0.99637147999132092</v>
      </c>
      <c r="ET75" s="26">
        <f>SUM(ET55:ET56,ET59:ET60,ET63:ET64,ET67:ET68,ET71:ET73)</f>
        <v>5695493.2866666671</v>
      </c>
      <c r="EU75" s="26">
        <f>SUM(EU54,EU58,EU62,EU66,EU70)</f>
        <v>46640</v>
      </c>
      <c r="EV75" s="27">
        <f>SUM(EV54,EV58,EV62,EV66,EV70)</f>
        <v>41044.236666666766</v>
      </c>
      <c r="EW75" s="44">
        <f>$AC26+$AD26-$Y26+$BW26+$BX26-$BT26+$BH26+$BI26-$BE26+$AS26+$AT26-$AO26+$M26+$N26-$I26+$CL26+$CM26-$CI26+$DA26+$DB26-$CX26+$DP26+$DQ26-$DM26+$EE26+$EF26-$EB26+$ET26+$EU26-$EQ26</f>
        <v>87684.236666666809</v>
      </c>
      <c r="EX75" s="967"/>
      <c r="EY75" s="967"/>
      <c r="EZ75" s="14" t="s">
        <v>57</v>
      </c>
      <c r="FA75" s="26">
        <f t="shared" ref="FA75:FF75" si="114">SUM(FA55:FA56,FA59:FA60,FA63:FA64,FA67:FA68,FA71:FA73)</f>
        <v>6234943.083333334</v>
      </c>
      <c r="FB75" s="26">
        <f t="shared" si="114"/>
        <v>8079.866666666665</v>
      </c>
      <c r="FC75" s="26">
        <f t="shared" si="114"/>
        <v>4712.3333333333321</v>
      </c>
      <c r="FD75" s="26">
        <f t="shared" si="114"/>
        <v>20592</v>
      </c>
      <c r="FE75" s="117">
        <f t="shared" si="114"/>
        <v>0</v>
      </c>
      <c r="FF75" s="92">
        <f t="shared" si="114"/>
        <v>6227143.2833333332</v>
      </c>
      <c r="FG75" s="32">
        <f t="shared" si="67"/>
        <v>3.2959142899238875E-3</v>
      </c>
      <c r="FH75" s="32">
        <f t="shared" si="64"/>
        <v>0.99670408571007607</v>
      </c>
      <c r="FI75" s="26">
        <f>SUM(FI55:FI56,FI59:FI60,FI63:FI64,FI67:FI68,FI71:FI73)</f>
        <v>6282099.1366666667</v>
      </c>
      <c r="FJ75" s="26">
        <f>SUM(FJ54,FJ58,FJ62,FJ66,FJ70)</f>
        <v>51304</v>
      </c>
      <c r="FK75" s="27">
        <f>SUM(FK54,FK58,FK62,FK66,FK70)</f>
        <v>54955.853333333464</v>
      </c>
      <c r="FL75" s="44">
        <f>$AC26+$AD26-$Y26+$BW26+$BX26-$BT26+$BH26+$BI26-$BE26+$AS26+$AT26-$AO26+$M26+$N26-$I26+$CL26+$CM26-$CI26+$DA26+$DB26-$CX26+$DP26+$DQ26-$DM26+$EE26+$EF26-$EB26+$ET26+$EU26-$EQ26+$FI26+$FJ26-$FF26</f>
        <v>106259.85333333351</v>
      </c>
      <c r="FM75" s="968"/>
      <c r="FN75" s="968"/>
      <c r="FO75" s="14" t="s">
        <v>57</v>
      </c>
      <c r="FP75" s="26">
        <f t="shared" ref="FP75:FU75" si="115">SUM(FP55:FP56,FP59:FP60,FP63:FP64,FP67:FP68,FP71:FP73)</f>
        <v>6792985.3666666662</v>
      </c>
      <c r="FQ75" s="26">
        <f t="shared" si="115"/>
        <v>8079.866666666665</v>
      </c>
      <c r="FR75" s="26">
        <f t="shared" si="115"/>
        <v>4712.3333333333321</v>
      </c>
      <c r="FS75" s="26">
        <f t="shared" si="115"/>
        <v>20592</v>
      </c>
      <c r="FT75" s="117">
        <f t="shared" si="115"/>
        <v>0</v>
      </c>
      <c r="FU75" s="92">
        <f t="shared" si="115"/>
        <v>6785185.5666666664</v>
      </c>
      <c r="FV75" s="32">
        <f t="shared" si="65"/>
        <v>3.0256645619532864E-3</v>
      </c>
      <c r="FW75" s="32">
        <f t="shared" si="66"/>
        <v>0.9969743354380467</v>
      </c>
      <c r="FX75" s="26">
        <f>SUM(FX55:FX56,FX59:FX60,FX63:FX64,FX67:FX68,FX71:FX73)</f>
        <v>6831732.9576666672</v>
      </c>
      <c r="FY75" s="26">
        <f>SUM(FY54,FY58,FY62,FY66,FY70)</f>
        <v>55968</v>
      </c>
      <c r="FZ75" s="27">
        <f>SUM(FZ54,FZ58,FZ62,FZ66,FZ70)</f>
        <v>46547.391000000156</v>
      </c>
      <c r="GA75" s="44">
        <f>$AC26+$AD26-$Y26+$BW26+$BX26-$BT26+$BH26+$BI26-$BE26+$AS26+$AT26-$AO26+$M26+$N26-$I26+$CL26+$CM26-$CI26+$DA26+$DB26-$CX26+$DP26+$DQ26-$DM26+$EE26+$EF26-$EB26+$ET26+$EU26-$EQ26+$FI26+$FJ26-$FF26+$FX26+$FY26-$FU26</f>
        <v>102515.39100000018</v>
      </c>
    </row>
    <row r="76" spans="1:183" ht="13.5" thickBot="1">
      <c r="A76" s="1025"/>
      <c r="B76" s="430"/>
      <c r="C76" s="430"/>
      <c r="D76" s="430"/>
      <c r="E76" s="430"/>
      <c r="F76" s="430"/>
      <c r="G76" s="430"/>
      <c r="H76" s="430"/>
      <c r="I76" s="430"/>
      <c r="J76" s="430"/>
      <c r="K76" s="430"/>
      <c r="L76" s="876"/>
      <c r="M76" s="430"/>
      <c r="N76" s="430"/>
      <c r="O76" s="1026"/>
      <c r="P76" s="430"/>
      <c r="Q76" s="430"/>
      <c r="R76" s="876"/>
      <c r="S76" s="430"/>
      <c r="T76" s="430"/>
      <c r="U76" s="430"/>
      <c r="V76" s="430"/>
      <c r="W76" s="430"/>
      <c r="X76" s="876"/>
      <c r="Y76" s="430"/>
      <c r="Z76" s="430"/>
      <c r="AA76" s="430"/>
      <c r="AB76" s="430"/>
      <c r="AC76" s="430"/>
      <c r="AD76" s="876"/>
      <c r="AE76" s="430"/>
      <c r="AF76" s="430"/>
      <c r="AG76" s="430"/>
      <c r="AH76" s="430"/>
      <c r="AI76" s="430"/>
      <c r="AJ76" s="974"/>
      <c r="AK76" s="974"/>
      <c r="AL76" s="974"/>
      <c r="AM76" s="974"/>
      <c r="AN76" s="430"/>
      <c r="AO76" s="430"/>
      <c r="AP76" s="876"/>
      <c r="AQ76" s="430"/>
      <c r="AR76" s="430"/>
      <c r="AS76" s="974"/>
      <c r="AT76" s="430"/>
      <c r="AU76" s="430"/>
      <c r="AV76" s="933"/>
      <c r="AW76" s="430"/>
      <c r="AX76" s="430"/>
      <c r="AY76" s="430"/>
      <c r="AZ76" s="974"/>
      <c r="BA76" s="974"/>
      <c r="BB76" s="974"/>
      <c r="BC76" s="974"/>
      <c r="BD76" s="430"/>
      <c r="BE76" s="430"/>
      <c r="BF76" s="430"/>
      <c r="BG76" s="430"/>
      <c r="BH76" s="876"/>
      <c r="BI76" s="430"/>
      <c r="BJ76" s="430"/>
      <c r="BK76" s="430"/>
      <c r="BL76" s="430"/>
      <c r="BM76" s="430"/>
      <c r="BN76" s="876"/>
      <c r="BO76" s="430"/>
      <c r="BP76" s="430"/>
      <c r="BQ76" s="430"/>
      <c r="BR76" s="430"/>
      <c r="BS76" s="430"/>
      <c r="BT76" s="876"/>
      <c r="BU76" s="430"/>
      <c r="BV76" s="430"/>
      <c r="BW76" s="430"/>
      <c r="BX76" s="430"/>
      <c r="BY76" s="430"/>
      <c r="BZ76" s="876"/>
      <c r="CA76" s="430"/>
      <c r="CB76" s="430"/>
      <c r="CC76" s="430"/>
      <c r="CD76" s="430"/>
      <c r="CE76" s="430"/>
      <c r="CF76" s="876"/>
      <c r="CG76" s="876"/>
      <c r="CH76" s="876"/>
      <c r="CI76" s="430"/>
      <c r="CJ76" s="430"/>
      <c r="CK76" s="430"/>
      <c r="CL76" s="430"/>
      <c r="CM76" s="430"/>
      <c r="CN76" s="876"/>
      <c r="CO76" s="430"/>
      <c r="CP76" s="430"/>
      <c r="CQ76" s="430"/>
      <c r="CR76" s="430"/>
      <c r="CS76" s="430"/>
      <c r="CT76" s="876"/>
      <c r="CU76" s="430"/>
      <c r="CV76" s="430"/>
      <c r="CW76" s="430"/>
      <c r="CX76" s="430"/>
      <c r="CY76" s="430"/>
      <c r="CZ76" s="876"/>
      <c r="DA76" s="430"/>
      <c r="DB76" s="430"/>
      <c r="DC76" s="430"/>
      <c r="DD76" s="430"/>
      <c r="DE76" s="430"/>
      <c r="DF76" s="430"/>
      <c r="DG76" s="430"/>
      <c r="DH76" s="430"/>
      <c r="DI76" s="430"/>
      <c r="DJ76" s="430"/>
      <c r="DK76" s="430"/>
      <c r="DL76" s="430"/>
      <c r="DM76" s="430"/>
      <c r="DN76" s="430"/>
      <c r="DO76" s="430"/>
      <c r="DP76" s="430"/>
      <c r="DQ76" s="430"/>
      <c r="DR76" s="430"/>
      <c r="DS76" s="430"/>
      <c r="DT76" s="430"/>
      <c r="DU76" s="430"/>
      <c r="DV76" s="430"/>
      <c r="DW76" s="430"/>
      <c r="DX76" s="430"/>
      <c r="DY76" s="430"/>
      <c r="DZ76" s="430"/>
      <c r="EA76" s="430"/>
      <c r="EB76" s="430"/>
      <c r="EC76" s="430"/>
      <c r="ED76" s="430"/>
      <c r="EE76" s="430"/>
      <c r="EF76" s="430"/>
      <c r="EG76" s="430"/>
      <c r="EH76" s="430"/>
      <c r="EI76" s="430"/>
      <c r="EJ76" s="430"/>
      <c r="EK76" s="430"/>
      <c r="EL76" s="430"/>
      <c r="EM76" s="430"/>
      <c r="EN76" s="430"/>
      <c r="EO76" s="430"/>
      <c r="EP76" s="430"/>
      <c r="EQ76" s="430"/>
      <c r="ER76" s="430"/>
      <c r="ES76" s="430"/>
      <c r="ET76" s="430"/>
      <c r="EU76" s="430"/>
      <c r="EV76" s="430"/>
      <c r="EW76" s="430"/>
      <c r="EX76" s="430"/>
      <c r="EY76" s="430"/>
      <c r="EZ76" s="430"/>
      <c r="FA76" s="430"/>
      <c r="FB76" s="430"/>
      <c r="FC76" s="430"/>
      <c r="FD76" s="430"/>
      <c r="FE76" s="430"/>
      <c r="FF76" s="430"/>
      <c r="FG76" s="430"/>
      <c r="FH76" s="430"/>
      <c r="FI76" s="430"/>
      <c r="FJ76" s="430"/>
      <c r="FK76" s="430"/>
      <c r="FL76" s="430"/>
      <c r="FM76" s="430"/>
      <c r="FN76" s="430"/>
      <c r="FO76" s="430"/>
      <c r="FP76" s="430"/>
      <c r="FQ76" s="430"/>
      <c r="FR76" s="430"/>
      <c r="FS76" s="430"/>
      <c r="FT76" s="430"/>
      <c r="FU76" s="430"/>
      <c r="FV76" s="430"/>
      <c r="FW76" s="430"/>
      <c r="FX76" s="430"/>
      <c r="FY76" s="430"/>
      <c r="FZ76" s="430"/>
      <c r="GA76" s="430"/>
    </row>
    <row r="77" spans="1:183">
      <c r="A77" s="1027"/>
      <c r="B77" s="430"/>
      <c r="C77" s="122" t="s">
        <v>58</v>
      </c>
      <c r="D77" s="971"/>
      <c r="E77" s="971"/>
      <c r="F77" s="123"/>
      <c r="G77" s="1028"/>
      <c r="H77" s="430"/>
      <c r="I77" s="977"/>
      <c r="J77" s="971"/>
      <c r="K77" s="978"/>
      <c r="L77" s="971"/>
      <c r="M77" s="971"/>
      <c r="N77" s="979"/>
      <c r="O77" s="971"/>
      <c r="P77" s="980"/>
      <c r="Q77" s="430"/>
      <c r="R77" s="876"/>
      <c r="S77" s="430"/>
      <c r="T77" s="430"/>
      <c r="U77" s="430"/>
      <c r="V77" s="430"/>
      <c r="W77" s="430"/>
      <c r="X77" s="876"/>
      <c r="Y77" s="430"/>
      <c r="Z77" s="430"/>
      <c r="AA77" s="430"/>
      <c r="AB77" s="430"/>
      <c r="AC77" s="430"/>
      <c r="AD77" s="876"/>
      <c r="AE77" s="430"/>
      <c r="AF77" s="430"/>
      <c r="AG77" s="430"/>
      <c r="AH77" s="430"/>
      <c r="AI77" s="430"/>
      <c r="AJ77" s="876"/>
      <c r="AK77" s="430"/>
      <c r="AL77" s="430"/>
      <c r="AM77" s="430"/>
      <c r="AN77" s="430"/>
      <c r="AO77" s="430"/>
      <c r="AP77" s="876"/>
      <c r="AQ77" s="430"/>
      <c r="AR77" s="430"/>
      <c r="AS77" s="430"/>
      <c r="AT77" s="430"/>
      <c r="AU77" s="430"/>
      <c r="AV77" s="876"/>
      <c r="AW77" s="430"/>
      <c r="AX77" s="430"/>
      <c r="AY77" s="430"/>
      <c r="AZ77" s="430"/>
      <c r="BA77" s="430"/>
      <c r="BB77" s="876"/>
      <c r="BC77" s="430"/>
      <c r="BD77" s="430"/>
      <c r="BE77" s="430"/>
      <c r="BF77" s="430"/>
      <c r="BG77" s="430"/>
      <c r="BH77" s="876"/>
      <c r="BI77" s="430"/>
      <c r="BJ77" s="430"/>
      <c r="BK77" s="430"/>
      <c r="BL77" s="430"/>
      <c r="BM77" s="430"/>
      <c r="BN77" s="876"/>
      <c r="BO77" s="430"/>
      <c r="BP77" s="430"/>
      <c r="BQ77" s="430"/>
      <c r="BR77" s="430"/>
      <c r="BS77" s="430"/>
      <c r="BT77" s="876"/>
      <c r="BU77" s="430"/>
      <c r="BV77" s="430"/>
      <c r="BW77" s="430"/>
      <c r="BX77" s="430"/>
      <c r="BY77" s="430"/>
      <c r="BZ77" s="876"/>
      <c r="CA77" s="430"/>
      <c r="CB77" s="430"/>
      <c r="CC77" s="430"/>
      <c r="CD77" s="430"/>
      <c r="CE77" s="430"/>
      <c r="CF77" s="876"/>
      <c r="CG77" s="876"/>
      <c r="CH77" s="876"/>
      <c r="CI77" s="430"/>
      <c r="CJ77" s="430"/>
      <c r="CK77" s="430"/>
      <c r="CL77" s="430"/>
      <c r="CM77" s="430"/>
      <c r="CN77" s="876"/>
      <c r="CO77" s="430"/>
      <c r="CP77" s="430"/>
      <c r="CQ77" s="430"/>
      <c r="CR77" s="430"/>
      <c r="CS77" s="430"/>
      <c r="CT77" s="876"/>
      <c r="CU77" s="430"/>
      <c r="CV77" s="430"/>
      <c r="CW77" s="430"/>
      <c r="CX77" s="430"/>
      <c r="CY77" s="430"/>
      <c r="CZ77" s="876"/>
      <c r="DA77" s="430"/>
      <c r="DB77" s="430"/>
      <c r="DC77" s="430"/>
      <c r="DD77" s="430"/>
      <c r="DE77" s="430"/>
      <c r="DF77" s="430"/>
      <c r="DG77" s="430"/>
      <c r="DH77" s="430"/>
      <c r="DI77" s="430"/>
      <c r="DJ77" s="430"/>
      <c r="DK77" s="430"/>
      <c r="DL77" s="430"/>
      <c r="DM77" s="430"/>
      <c r="DN77" s="430"/>
      <c r="DO77" s="430"/>
      <c r="DP77" s="430"/>
      <c r="DQ77" s="430"/>
      <c r="DR77" s="430"/>
      <c r="DS77" s="430"/>
      <c r="DT77" s="430"/>
      <c r="DU77" s="430"/>
      <c r="DV77" s="430"/>
      <c r="DW77" s="430"/>
      <c r="DX77" s="430"/>
      <c r="DY77" s="430"/>
      <c r="DZ77" s="430"/>
      <c r="EA77" s="430"/>
      <c r="EB77" s="430"/>
      <c r="EC77" s="430"/>
      <c r="ED77" s="430"/>
      <c r="EE77" s="430"/>
      <c r="EF77" s="430"/>
      <c r="EG77" s="430"/>
      <c r="EH77" s="430"/>
      <c r="EI77" s="430"/>
      <c r="EJ77" s="430"/>
      <c r="EK77" s="430"/>
      <c r="EL77" s="430"/>
      <c r="EM77" s="430"/>
      <c r="EN77" s="430"/>
      <c r="EO77" s="430"/>
      <c r="EP77" s="430"/>
      <c r="EQ77" s="430"/>
      <c r="ER77" s="430"/>
      <c r="ES77" s="430"/>
      <c r="ET77" s="430"/>
      <c r="EU77" s="430"/>
      <c r="EV77" s="430"/>
      <c r="EW77" s="430"/>
      <c r="EX77" s="430"/>
      <c r="EY77" s="430"/>
      <c r="EZ77" s="430"/>
      <c r="FA77" s="430"/>
      <c r="FB77" s="430"/>
      <c r="FC77" s="430"/>
      <c r="FD77" s="430"/>
      <c r="FE77" s="430"/>
      <c r="FF77" s="430"/>
      <c r="FG77" s="430"/>
      <c r="FH77" s="430"/>
      <c r="FI77" s="430"/>
      <c r="FJ77" s="430"/>
      <c r="FK77" s="430"/>
      <c r="FL77" s="430"/>
      <c r="FM77" s="430"/>
      <c r="FN77" s="430"/>
      <c r="FO77" s="135" t="s">
        <v>58</v>
      </c>
      <c r="FP77" s="971"/>
      <c r="FQ77" s="971"/>
      <c r="FR77" s="971"/>
      <c r="FS77" s="972"/>
      <c r="FT77" s="430"/>
      <c r="FU77" s="977"/>
      <c r="FV77" s="978"/>
      <c r="FW77" s="971"/>
      <c r="FX77" s="971"/>
      <c r="FY77" s="979"/>
      <c r="FZ77" s="971"/>
      <c r="GA77" s="980"/>
    </row>
    <row r="78" spans="1:183">
      <c r="A78" s="906"/>
      <c r="B78" s="430"/>
      <c r="C78" s="910" t="s">
        <v>162</v>
      </c>
      <c r="D78" s="430">
        <f>24378+3124</f>
        <v>27502</v>
      </c>
      <c r="E78" s="982">
        <v>-34</v>
      </c>
      <c r="F78" s="430"/>
      <c r="G78" s="1029">
        <v>83.56</v>
      </c>
      <c r="H78" s="430"/>
      <c r="I78" s="93">
        <f t="shared" ref="I78:I86" si="116">D78+E78+F78-G78</f>
        <v>27384.44</v>
      </c>
      <c r="J78" s="946"/>
      <c r="K78" s="930">
        <f t="shared" ref="K78:K87" si="117">G78/(D78+E78+F78)</f>
        <v>3.0420853356633174E-3</v>
      </c>
      <c r="L78" s="930">
        <f t="shared" ref="L78:L87" si="118">1-(G78/(D78+E78+F78))</f>
        <v>0.9969579146643367</v>
      </c>
      <c r="M78" s="876">
        <v>24501</v>
      </c>
      <c r="N78" s="984"/>
      <c r="O78" s="931">
        <f>M78-I78</f>
        <v>-2883.4399999999987</v>
      </c>
      <c r="P78" s="985"/>
      <c r="Q78" s="430"/>
      <c r="R78" s="876"/>
      <c r="S78" s="430"/>
      <c r="T78" s="430"/>
      <c r="U78" s="430"/>
      <c r="V78" s="430"/>
      <c r="W78" s="430"/>
      <c r="X78" s="876"/>
      <c r="Y78" s="430"/>
      <c r="Z78" s="430"/>
      <c r="AA78" s="430"/>
      <c r="AB78" s="430"/>
      <c r="AC78" s="430"/>
      <c r="AD78" s="876"/>
      <c r="AE78" s="430"/>
      <c r="AF78" s="430"/>
      <c r="AG78" s="430"/>
      <c r="AH78" s="430"/>
      <c r="AI78" s="430"/>
      <c r="AJ78" s="876"/>
      <c r="AK78" s="430"/>
      <c r="AL78" s="430"/>
      <c r="AM78" s="430"/>
      <c r="AN78" s="430"/>
      <c r="AO78" s="430"/>
      <c r="AP78" s="876"/>
      <c r="AQ78" s="430"/>
      <c r="AR78" s="430"/>
      <c r="AS78" s="430"/>
      <c r="AT78" s="430"/>
      <c r="AU78" s="430"/>
      <c r="AV78" s="876"/>
      <c r="AW78" s="754"/>
      <c r="AX78" s="754"/>
      <c r="AY78" s="754"/>
      <c r="AZ78" s="754"/>
      <c r="BA78" s="754"/>
      <c r="BB78" s="754"/>
      <c r="BC78" s="754"/>
      <c r="BD78" s="754"/>
      <c r="BE78" s="754"/>
      <c r="BF78" s="754"/>
      <c r="BG78" s="754"/>
      <c r="BH78" s="754"/>
      <c r="BI78" s="754"/>
      <c r="BJ78" s="754"/>
      <c r="BK78" s="754"/>
      <c r="BL78" s="430"/>
      <c r="BM78" s="430"/>
      <c r="BN78" s="876"/>
      <c r="BO78" s="430"/>
      <c r="BP78" s="430"/>
      <c r="BQ78" s="430"/>
      <c r="BR78" s="430"/>
      <c r="BS78" s="430"/>
      <c r="BT78" s="876"/>
      <c r="BU78" s="430"/>
      <c r="BV78" s="430"/>
      <c r="BW78" s="430"/>
      <c r="BX78" s="430"/>
      <c r="BY78" s="430"/>
      <c r="BZ78" s="984"/>
      <c r="CA78" s="430"/>
      <c r="CB78" s="430"/>
      <c r="CC78" s="430"/>
      <c r="CD78" s="430"/>
      <c r="CE78" s="430"/>
      <c r="CF78" s="876"/>
      <c r="CG78" s="876"/>
      <c r="CH78" s="876"/>
      <c r="CI78" s="430"/>
      <c r="CJ78" s="430"/>
      <c r="CK78" s="430"/>
      <c r="CL78" s="430"/>
      <c r="CM78" s="430"/>
      <c r="CN78" s="876"/>
      <c r="CO78" s="430"/>
      <c r="CP78" s="430"/>
      <c r="CQ78" s="430"/>
      <c r="CR78" s="430"/>
      <c r="CS78" s="430"/>
      <c r="CT78" s="876"/>
      <c r="CU78" s="430"/>
      <c r="CV78" s="430"/>
      <c r="CW78" s="430"/>
      <c r="CX78" s="430"/>
      <c r="CY78" s="430"/>
      <c r="CZ78" s="876"/>
      <c r="DA78" s="430"/>
      <c r="DB78" s="430"/>
      <c r="DC78" s="430"/>
      <c r="DD78" s="430"/>
      <c r="DE78" s="430"/>
      <c r="DF78" s="430"/>
      <c r="DG78" s="430"/>
      <c r="DH78" s="430"/>
      <c r="DI78" s="430"/>
      <c r="DJ78" s="430"/>
      <c r="DK78" s="430"/>
      <c r="DL78" s="430"/>
      <c r="DM78" s="430"/>
      <c r="DN78" s="430"/>
      <c r="DO78" s="430"/>
      <c r="DP78" s="430"/>
      <c r="DQ78" s="430"/>
      <c r="DR78" s="430"/>
      <c r="DS78" s="430"/>
      <c r="DT78" s="430"/>
      <c r="DU78" s="430"/>
      <c r="DV78" s="430"/>
      <c r="DW78" s="430"/>
      <c r="DX78" s="430"/>
      <c r="DY78" s="430"/>
      <c r="DZ78" s="430"/>
      <c r="EA78" s="430"/>
      <c r="EB78" s="430"/>
      <c r="EC78" s="430"/>
      <c r="ED78" s="430"/>
      <c r="EE78" s="430"/>
      <c r="EF78" s="430"/>
      <c r="EG78" s="430"/>
      <c r="EH78" s="430"/>
      <c r="EI78" s="499"/>
      <c r="EJ78" s="430"/>
      <c r="EK78" s="430"/>
      <c r="EL78" s="430"/>
      <c r="EM78" s="430"/>
      <c r="EN78" s="430"/>
      <c r="EO78" s="430"/>
      <c r="EP78" s="430"/>
      <c r="EQ78" s="430"/>
      <c r="ER78" s="430"/>
      <c r="ES78" s="430"/>
      <c r="ET78" s="430"/>
      <c r="EU78" s="430"/>
      <c r="EV78" s="430"/>
      <c r="EW78" s="430"/>
      <c r="EX78" s="430"/>
      <c r="EY78" s="430"/>
      <c r="EZ78" s="430"/>
      <c r="FA78" s="430"/>
      <c r="FB78" s="430"/>
      <c r="FC78" s="430"/>
      <c r="FD78" s="430"/>
      <c r="FE78" s="430"/>
      <c r="FF78" s="430"/>
      <c r="FG78" s="430"/>
      <c r="FH78" s="430"/>
      <c r="FI78" s="430"/>
      <c r="FJ78" s="430"/>
      <c r="FK78" s="430"/>
      <c r="FL78" s="430"/>
      <c r="FM78" s="430"/>
      <c r="FN78" s="430"/>
      <c r="FO78" s="1030" t="s">
        <v>162</v>
      </c>
      <c r="FP78" s="876"/>
      <c r="FQ78" s="982"/>
      <c r="FR78" s="982"/>
      <c r="FS78" s="983"/>
      <c r="FT78" s="430"/>
      <c r="FU78" s="93">
        <f t="shared" ref="FU78:FU86" si="119">FP78+FQ78+FR78-FS78</f>
        <v>0</v>
      </c>
      <c r="FV78" s="930" t="e">
        <f t="shared" ref="FV78:FV87" si="120">FS78/(FP78+FQ78+FR78)</f>
        <v>#DIV/0!</v>
      </c>
      <c r="FW78" s="930" t="e">
        <f t="shared" ref="FW78:FW87" si="121">1-(FS78/(FP78+FQ78+FR78))</f>
        <v>#DIV/0!</v>
      </c>
      <c r="FX78" s="876">
        <v>23134</v>
      </c>
      <c r="FY78" s="984"/>
      <c r="FZ78" s="931">
        <f t="shared" ref="FZ78:FZ87" si="122">FX78-FU78</f>
        <v>23134</v>
      </c>
      <c r="GA78" s="985"/>
    </row>
    <row r="79" spans="1:183">
      <c r="A79" s="906"/>
      <c r="B79" s="430"/>
      <c r="C79" s="910" t="s">
        <v>163</v>
      </c>
      <c r="D79" s="982">
        <f>5687+930.6</f>
        <v>6617.6</v>
      </c>
      <c r="E79" s="982"/>
      <c r="F79" s="430"/>
      <c r="G79" s="1029">
        <f>3.81+2.27</f>
        <v>6.08</v>
      </c>
      <c r="H79" s="430"/>
      <c r="I79" s="93">
        <f t="shared" si="116"/>
        <v>6611.52</v>
      </c>
      <c r="J79" s="946"/>
      <c r="K79" s="930">
        <f t="shared" si="117"/>
        <v>9.1876208897485488E-4</v>
      </c>
      <c r="L79" s="930">
        <f t="shared" si="118"/>
        <v>0.9990812379110251</v>
      </c>
      <c r="M79" s="876">
        <v>9927</v>
      </c>
      <c r="N79" s="984"/>
      <c r="O79" s="931">
        <f t="shared" ref="O79:O87" si="123">M79-I79</f>
        <v>3315.4799999999996</v>
      </c>
      <c r="P79" s="985"/>
      <c r="Q79" s="430"/>
      <c r="R79" s="876"/>
      <c r="S79" s="430"/>
      <c r="T79" s="430"/>
      <c r="U79" s="430"/>
      <c r="V79" s="430"/>
      <c r="W79" s="430"/>
      <c r="X79" s="876"/>
      <c r="Y79" s="430"/>
      <c r="Z79" s="430"/>
      <c r="AA79" s="430"/>
      <c r="AB79" s="430"/>
      <c r="AC79" s="430"/>
      <c r="AD79" s="876"/>
      <c r="AE79" s="430"/>
      <c r="AF79" s="430"/>
      <c r="AG79" s="430"/>
      <c r="AH79" s="430"/>
      <c r="AI79" s="430"/>
      <c r="AJ79" s="876"/>
      <c r="AK79" s="430"/>
      <c r="AL79" s="430"/>
      <c r="AM79" s="430"/>
      <c r="AN79" s="430"/>
      <c r="AO79" s="430"/>
      <c r="AP79" s="876"/>
      <c r="AQ79" s="430"/>
      <c r="AR79" s="430"/>
      <c r="AS79" s="430"/>
      <c r="AT79" s="430"/>
      <c r="AU79" s="430"/>
      <c r="AV79" s="876"/>
      <c r="AW79" s="912"/>
      <c r="AX79" s="912"/>
      <c r="AY79" s="912"/>
      <c r="AZ79" s="912"/>
      <c r="BA79" s="912"/>
      <c r="BB79" s="1031"/>
      <c r="BC79" s="994"/>
      <c r="BD79" s="912"/>
      <c r="BE79" s="113"/>
      <c r="BF79" s="1031"/>
      <c r="BG79" s="118"/>
      <c r="BH79" s="1031"/>
      <c r="BI79" s="1031"/>
      <c r="BJ79" s="1031"/>
      <c r="BK79" s="1031"/>
      <c r="BL79" s="430"/>
      <c r="BM79" s="430"/>
      <c r="BN79" s="876"/>
      <c r="BO79" s="430"/>
      <c r="BP79" s="430"/>
      <c r="BQ79" s="430"/>
      <c r="BR79" s="430"/>
      <c r="BS79" s="430"/>
      <c r="BT79" s="876"/>
      <c r="BU79" s="430"/>
      <c r="BV79" s="430"/>
      <c r="BW79" s="430"/>
      <c r="BX79" s="430"/>
      <c r="BY79" s="430"/>
      <c r="BZ79" s="984"/>
      <c r="CA79" s="430"/>
      <c r="CB79" s="430"/>
      <c r="CC79" s="430"/>
      <c r="CD79" s="430"/>
      <c r="CE79" s="430"/>
      <c r="CF79" s="876"/>
      <c r="CG79" s="876"/>
      <c r="CH79" s="876"/>
      <c r="CI79" s="430"/>
      <c r="CJ79" s="430"/>
      <c r="CK79" s="430"/>
      <c r="CL79" s="430"/>
      <c r="CM79" s="430"/>
      <c r="CN79" s="876"/>
      <c r="CO79" s="430"/>
      <c r="CP79" s="430"/>
      <c r="CQ79" s="430"/>
      <c r="CR79" s="430"/>
      <c r="CS79" s="876"/>
      <c r="CT79" s="430"/>
      <c r="CU79" s="430"/>
      <c r="CV79" s="430"/>
      <c r="CW79" s="430"/>
      <c r="CX79" s="430"/>
      <c r="CY79" s="876"/>
      <c r="CZ79" s="430"/>
      <c r="DA79" s="430"/>
      <c r="DB79" s="430"/>
      <c r="DC79" s="430"/>
      <c r="DD79" s="430"/>
      <c r="DE79" s="430"/>
      <c r="DF79" s="430"/>
      <c r="DG79" s="430"/>
      <c r="DH79" s="430"/>
      <c r="DI79" s="430"/>
      <c r="DJ79" s="430"/>
      <c r="DK79" s="430"/>
      <c r="DL79" s="430"/>
      <c r="DM79" s="430"/>
      <c r="DN79" s="430"/>
      <c r="DO79" s="430"/>
      <c r="DP79" s="430"/>
      <c r="DQ79" s="430"/>
      <c r="DR79" s="430"/>
      <c r="DS79" s="430"/>
      <c r="DT79" s="430"/>
      <c r="DU79" s="430"/>
      <c r="DV79" s="430"/>
      <c r="DW79" s="430"/>
      <c r="DX79" s="430"/>
      <c r="DY79" s="430"/>
      <c r="DZ79" s="430"/>
      <c r="EA79" s="430"/>
      <c r="EB79" s="430"/>
      <c r="EC79" s="430"/>
      <c r="ED79" s="430"/>
      <c r="EE79" s="430"/>
      <c r="EF79" s="430"/>
      <c r="EG79" s="430"/>
      <c r="EH79" s="430"/>
      <c r="EI79" s="984"/>
      <c r="EJ79" s="430"/>
      <c r="EK79" s="430"/>
      <c r="EL79" s="430"/>
      <c r="EM79" s="430"/>
      <c r="EN79" s="430"/>
      <c r="EO79" s="430"/>
      <c r="EP79" s="430"/>
      <c r="EQ79" s="430"/>
      <c r="ER79" s="430"/>
      <c r="ES79" s="430"/>
      <c r="ET79" s="430"/>
      <c r="EU79" s="430"/>
      <c r="EV79" s="430"/>
      <c r="EW79" s="430"/>
      <c r="EX79" s="430"/>
      <c r="EY79" s="430"/>
      <c r="EZ79" s="430"/>
      <c r="FA79" s="430"/>
      <c r="FB79" s="430"/>
      <c r="FC79" s="430"/>
      <c r="FD79" s="430"/>
      <c r="FE79" s="430"/>
      <c r="FF79" s="430"/>
      <c r="FG79" s="430"/>
      <c r="FH79" s="430"/>
      <c r="FI79" s="430"/>
      <c r="FJ79" s="430"/>
      <c r="FK79" s="430"/>
      <c r="FL79" s="430"/>
      <c r="FM79" s="430"/>
      <c r="FN79" s="430"/>
      <c r="FO79" s="1030" t="s">
        <v>163</v>
      </c>
      <c r="FP79" s="876"/>
      <c r="FQ79" s="982"/>
      <c r="FR79" s="982"/>
      <c r="FS79" s="983"/>
      <c r="FT79" s="430"/>
      <c r="FU79" s="93">
        <f t="shared" si="119"/>
        <v>0</v>
      </c>
      <c r="FV79" s="930" t="e">
        <f t="shared" si="120"/>
        <v>#DIV/0!</v>
      </c>
      <c r="FW79" s="930" t="e">
        <f t="shared" si="121"/>
        <v>#DIV/0!</v>
      </c>
      <c r="FX79" s="876">
        <f>4105+5258</f>
        <v>9363</v>
      </c>
      <c r="FY79" s="984"/>
      <c r="FZ79" s="931">
        <f t="shared" si="122"/>
        <v>9363</v>
      </c>
      <c r="GA79" s="985"/>
    </row>
    <row r="80" spans="1:183">
      <c r="A80" s="906"/>
      <c r="B80" s="430"/>
      <c r="C80" s="910" t="s">
        <v>164</v>
      </c>
      <c r="D80" s="982">
        <v>6136.08</v>
      </c>
      <c r="E80" s="982"/>
      <c r="F80" s="430"/>
      <c r="G80" s="1029">
        <f>1.01+26.45</f>
        <v>27.46</v>
      </c>
      <c r="H80" s="430"/>
      <c r="I80" s="93">
        <f t="shared" si="116"/>
        <v>6108.62</v>
      </c>
      <c r="J80" s="946"/>
      <c r="K80" s="930">
        <f t="shared" si="117"/>
        <v>4.4751698152566462E-3</v>
      </c>
      <c r="L80" s="930">
        <f t="shared" si="118"/>
        <v>0.99552483018474336</v>
      </c>
      <c r="M80" s="876">
        <v>6174</v>
      </c>
      <c r="N80" s="984"/>
      <c r="O80" s="931">
        <f t="shared" si="123"/>
        <v>65.380000000000109</v>
      </c>
      <c r="P80" s="985"/>
      <c r="Q80" s="430"/>
      <c r="R80" s="876"/>
      <c r="S80" s="430"/>
      <c r="T80" s="430"/>
      <c r="U80" s="430"/>
      <c r="V80" s="430"/>
      <c r="W80" s="430"/>
      <c r="X80" s="876"/>
      <c r="Y80" s="430"/>
      <c r="Z80" s="430"/>
      <c r="AA80" s="430"/>
      <c r="AB80" s="430"/>
      <c r="AC80" s="430"/>
      <c r="AD80" s="876"/>
      <c r="AE80" s="430"/>
      <c r="AF80" s="430"/>
      <c r="AG80" s="430"/>
      <c r="AH80" s="430"/>
      <c r="AI80" s="430"/>
      <c r="AJ80" s="876"/>
      <c r="AK80" s="430"/>
      <c r="AL80" s="430"/>
      <c r="AM80" s="430"/>
      <c r="AN80" s="430"/>
      <c r="AO80" s="430"/>
      <c r="AP80" s="876"/>
      <c r="AQ80" s="430"/>
      <c r="AR80" s="430"/>
      <c r="AS80" s="430"/>
      <c r="AT80" s="430"/>
      <c r="AU80" s="430"/>
      <c r="AV80" s="876"/>
      <c r="AW80" s="912"/>
      <c r="AX80" s="912"/>
      <c r="AY80" s="1"/>
      <c r="AZ80" s="101"/>
      <c r="BA80" s="96"/>
      <c r="BB80" s="97"/>
      <c r="BC80" s="96"/>
      <c r="BD80" s="1"/>
      <c r="BE80" s="96"/>
      <c r="BF80" s="1"/>
      <c r="BG80" s="119"/>
      <c r="BH80" s="96"/>
      <c r="BI80" s="1"/>
      <c r="BJ80" s="1032"/>
      <c r="BK80" s="1032"/>
      <c r="BL80" s="430"/>
      <c r="BM80" s="430"/>
      <c r="BN80" s="876"/>
      <c r="BO80" s="430"/>
      <c r="BP80" s="430"/>
      <c r="BQ80" s="430"/>
      <c r="BR80" s="430"/>
      <c r="BS80" s="430"/>
      <c r="BT80" s="876"/>
      <c r="BU80" s="430"/>
      <c r="BV80" s="430"/>
      <c r="BW80" s="430"/>
      <c r="BX80" s="430"/>
      <c r="BY80" s="430"/>
      <c r="BZ80" s="984"/>
      <c r="CA80" s="430"/>
      <c r="CB80" s="430"/>
      <c r="CC80" s="430"/>
      <c r="CD80" s="430"/>
      <c r="CE80" s="430"/>
      <c r="CF80" s="876"/>
      <c r="CG80" s="876"/>
      <c r="CH80" s="876"/>
      <c r="CI80" s="430"/>
      <c r="CJ80" s="430"/>
      <c r="CK80" s="430"/>
      <c r="CL80" s="430"/>
      <c r="CM80" s="430"/>
      <c r="CN80" s="876"/>
      <c r="CO80" s="430"/>
      <c r="CP80" s="430"/>
      <c r="CQ80" s="430"/>
      <c r="CR80" s="430"/>
      <c r="CS80" s="876"/>
      <c r="CT80" s="430"/>
      <c r="CU80" s="430"/>
      <c r="CV80" s="430"/>
      <c r="CW80" s="430"/>
      <c r="CX80" s="430"/>
      <c r="CY80" s="876"/>
      <c r="CZ80" s="430"/>
      <c r="DA80" s="430"/>
      <c r="DB80" s="430"/>
      <c r="DC80" s="430"/>
      <c r="DD80" s="430"/>
      <c r="DE80" s="430"/>
      <c r="DF80" s="430"/>
      <c r="DG80" s="430"/>
      <c r="DH80" s="430"/>
      <c r="DI80" s="430"/>
      <c r="DJ80" s="430"/>
      <c r="DK80" s="430"/>
      <c r="DL80" s="430"/>
      <c r="DM80" s="430"/>
      <c r="DN80" s="430"/>
      <c r="DO80" s="430"/>
      <c r="DP80" s="430"/>
      <c r="DQ80" s="430"/>
      <c r="DR80" s="430"/>
      <c r="DS80" s="430"/>
      <c r="DT80" s="430"/>
      <c r="DU80" s="430"/>
      <c r="DV80" s="430"/>
      <c r="DW80" s="430"/>
      <c r="DX80" s="430"/>
      <c r="DY80" s="430"/>
      <c r="DZ80" s="430"/>
      <c r="EA80" s="430"/>
      <c r="EB80" s="430"/>
      <c r="EC80" s="430"/>
      <c r="ED80" s="430"/>
      <c r="EE80" s="430"/>
      <c r="EF80" s="430"/>
      <c r="EG80" s="430"/>
      <c r="EH80" s="430"/>
      <c r="EI80" s="984"/>
      <c r="EJ80" s="430"/>
      <c r="EK80" s="430"/>
      <c r="EL80" s="430"/>
      <c r="EM80" s="430"/>
      <c r="EN80" s="430"/>
      <c r="EO80" s="430"/>
      <c r="EP80" s="430"/>
      <c r="EQ80" s="430"/>
      <c r="ER80" s="430"/>
      <c r="ES80" s="430"/>
      <c r="ET80" s="430"/>
      <c r="EU80" s="430"/>
      <c r="EV80" s="430"/>
      <c r="EW80" s="430"/>
      <c r="EX80" s="430"/>
      <c r="EY80" s="430"/>
      <c r="EZ80" s="430"/>
      <c r="FA80" s="430"/>
      <c r="FB80" s="430"/>
      <c r="FC80" s="430"/>
      <c r="FD80" s="430"/>
      <c r="FE80" s="430"/>
      <c r="FF80" s="430"/>
      <c r="FG80" s="430"/>
      <c r="FH80" s="430"/>
      <c r="FI80" s="430"/>
      <c r="FJ80" s="430"/>
      <c r="FK80" s="430"/>
      <c r="FL80" s="430"/>
      <c r="FM80" s="430"/>
      <c r="FN80" s="430"/>
      <c r="FO80" s="1030" t="s">
        <v>164</v>
      </c>
      <c r="FP80" s="876"/>
      <c r="FQ80" s="982"/>
      <c r="FR80" s="982"/>
      <c r="FS80" s="983"/>
      <c r="FT80" s="430"/>
      <c r="FU80" s="93">
        <f t="shared" si="119"/>
        <v>0</v>
      </c>
      <c r="FV80" s="930" t="e">
        <f t="shared" si="120"/>
        <v>#DIV/0!</v>
      </c>
      <c r="FW80" s="930" t="e">
        <f t="shared" si="121"/>
        <v>#DIV/0!</v>
      </c>
      <c r="FX80" s="876">
        <v>5805</v>
      </c>
      <c r="FY80" s="984"/>
      <c r="FZ80" s="931">
        <f t="shared" si="122"/>
        <v>5805</v>
      </c>
      <c r="GA80" s="985"/>
    </row>
    <row r="81" spans="1:183">
      <c r="A81" s="906"/>
      <c r="B81" s="430"/>
      <c r="C81" s="910" t="s">
        <v>165</v>
      </c>
      <c r="D81" s="982">
        <v>2090</v>
      </c>
      <c r="E81" s="982"/>
      <c r="F81" s="430"/>
      <c r="G81" s="1029">
        <v>7.42</v>
      </c>
      <c r="H81" s="430"/>
      <c r="I81" s="93">
        <f t="shared" si="116"/>
        <v>2082.58</v>
      </c>
      <c r="J81" s="946"/>
      <c r="K81" s="930">
        <f t="shared" si="117"/>
        <v>3.5502392344497606E-3</v>
      </c>
      <c r="L81" s="930">
        <f t="shared" si="118"/>
        <v>0.99644976076555025</v>
      </c>
      <c r="M81" s="876">
        <v>1885</v>
      </c>
      <c r="N81" s="984"/>
      <c r="O81" s="931">
        <f t="shared" si="123"/>
        <v>-197.57999999999993</v>
      </c>
      <c r="P81" s="985"/>
      <c r="Q81" s="430"/>
      <c r="R81" s="876"/>
      <c r="S81" s="430"/>
      <c r="T81" s="430"/>
      <c r="U81" s="430"/>
      <c r="V81" s="430"/>
      <c r="W81" s="430"/>
      <c r="X81" s="876"/>
      <c r="Y81" s="430"/>
      <c r="Z81" s="430"/>
      <c r="AA81" s="430"/>
      <c r="AB81" s="430"/>
      <c r="AC81" s="430"/>
      <c r="AD81" s="876"/>
      <c r="AE81" s="430"/>
      <c r="AF81" s="430"/>
      <c r="AG81" s="430"/>
      <c r="AH81" s="430"/>
      <c r="AI81" s="430"/>
      <c r="AJ81" s="876"/>
      <c r="AK81" s="430"/>
      <c r="AL81" s="430"/>
      <c r="AM81" s="430"/>
      <c r="AN81" s="430"/>
      <c r="AO81" s="430"/>
      <c r="AP81" s="876"/>
      <c r="AQ81" s="430"/>
      <c r="AR81" s="430"/>
      <c r="AS81" s="430"/>
      <c r="AT81" s="430"/>
      <c r="AU81" s="430"/>
      <c r="AV81" s="876"/>
      <c r="AW81" s="912"/>
      <c r="AX81" s="912"/>
      <c r="AY81" s="912"/>
      <c r="AZ81" s="944"/>
      <c r="BA81" s="944"/>
      <c r="BB81" s="912"/>
      <c r="BC81" s="106"/>
      <c r="BD81" s="912"/>
      <c r="BE81" s="106"/>
      <c r="BF81" s="1033"/>
      <c r="BG81" s="1033"/>
      <c r="BH81" s="912"/>
      <c r="BI81" s="912"/>
      <c r="BJ81" s="1032"/>
      <c r="BK81" s="1032"/>
      <c r="BL81" s="430"/>
      <c r="BM81" s="430"/>
      <c r="BN81" s="876"/>
      <c r="BO81" s="430"/>
      <c r="BP81" s="430"/>
      <c r="BQ81" s="430"/>
      <c r="BR81" s="430"/>
      <c r="BS81" s="430"/>
      <c r="BT81" s="876"/>
      <c r="BU81" s="430"/>
      <c r="BV81" s="430"/>
      <c r="BW81" s="430"/>
      <c r="BX81" s="430"/>
      <c r="BY81" s="430"/>
      <c r="BZ81" s="984"/>
      <c r="CA81" s="430"/>
      <c r="CB81" s="430"/>
      <c r="CC81" s="430"/>
      <c r="CD81" s="430"/>
      <c r="CE81" s="430"/>
      <c r="CF81" s="876"/>
      <c r="CG81" s="876"/>
      <c r="CH81" s="876"/>
      <c r="CI81" s="430"/>
      <c r="CJ81" s="430"/>
      <c r="CK81" s="430"/>
      <c r="CL81" s="430"/>
      <c r="CM81" s="430"/>
      <c r="CN81" s="876"/>
      <c r="CO81" s="430"/>
      <c r="CP81" s="430"/>
      <c r="CQ81" s="430"/>
      <c r="CR81" s="430"/>
      <c r="CS81" s="876"/>
      <c r="CT81" s="430"/>
      <c r="CU81" s="430"/>
      <c r="CV81" s="430"/>
      <c r="CW81" s="430"/>
      <c r="CX81" s="430"/>
      <c r="CY81" s="876"/>
      <c r="CZ81" s="430"/>
      <c r="DA81" s="430"/>
      <c r="DB81" s="430"/>
      <c r="DC81" s="430"/>
      <c r="DD81" s="430"/>
      <c r="DE81" s="430"/>
      <c r="DF81" s="430"/>
      <c r="DG81" s="430"/>
      <c r="DH81" s="430"/>
      <c r="DI81" s="430"/>
      <c r="DJ81" s="430"/>
      <c r="DK81" s="430"/>
      <c r="DL81" s="430"/>
      <c r="DM81" s="430"/>
      <c r="DN81" s="430"/>
      <c r="DO81" s="430"/>
      <c r="DP81" s="430"/>
      <c r="DQ81" s="430"/>
      <c r="DR81" s="430"/>
      <c r="DS81" s="430"/>
      <c r="DT81" s="430"/>
      <c r="DU81" s="430"/>
      <c r="DV81" s="430"/>
      <c r="DW81" s="430"/>
      <c r="DX81" s="430"/>
      <c r="DY81" s="430"/>
      <c r="DZ81" s="430"/>
      <c r="EA81" s="430"/>
      <c r="EB81" s="430"/>
      <c r="EC81" s="430"/>
      <c r="ED81" s="430"/>
      <c r="EE81" s="430"/>
      <c r="EF81" s="430"/>
      <c r="EG81" s="430"/>
      <c r="EH81" s="430"/>
      <c r="EI81" s="984"/>
      <c r="EJ81" s="430"/>
      <c r="EK81" s="430"/>
      <c r="EL81" s="430"/>
      <c r="EM81" s="430"/>
      <c r="EN81" s="430"/>
      <c r="EO81" s="430"/>
      <c r="EP81" s="430"/>
      <c r="EQ81" s="430"/>
      <c r="ER81" s="430"/>
      <c r="ES81" s="430"/>
      <c r="ET81" s="430"/>
      <c r="EU81" s="430"/>
      <c r="EV81" s="430"/>
      <c r="EW81" s="430"/>
      <c r="EX81" s="430"/>
      <c r="EY81" s="430"/>
      <c r="EZ81" s="430"/>
      <c r="FA81" s="430"/>
      <c r="FB81" s="430"/>
      <c r="FC81" s="430"/>
      <c r="FD81" s="430"/>
      <c r="FE81" s="430"/>
      <c r="FF81" s="430"/>
      <c r="FG81" s="430"/>
      <c r="FH81" s="430"/>
      <c r="FI81" s="430"/>
      <c r="FJ81" s="430"/>
      <c r="FK81" s="430"/>
      <c r="FL81" s="430"/>
      <c r="FM81" s="430"/>
      <c r="FN81" s="430"/>
      <c r="FO81" s="1030" t="s">
        <v>165</v>
      </c>
      <c r="FP81" s="912"/>
      <c r="FQ81" s="982"/>
      <c r="FR81" s="982"/>
      <c r="FS81" s="983"/>
      <c r="FT81" s="430"/>
      <c r="FU81" s="93">
        <f t="shared" si="119"/>
        <v>0</v>
      </c>
      <c r="FV81" s="930" t="e">
        <f t="shared" si="120"/>
        <v>#DIV/0!</v>
      </c>
      <c r="FW81" s="930" t="e">
        <f t="shared" si="121"/>
        <v>#DIV/0!</v>
      </c>
      <c r="FX81" s="876">
        <v>1780</v>
      </c>
      <c r="FY81" s="984"/>
      <c r="FZ81" s="931">
        <f t="shared" si="122"/>
        <v>1780</v>
      </c>
      <c r="GA81" s="985"/>
    </row>
    <row r="82" spans="1:183">
      <c r="A82" s="906"/>
      <c r="B82" s="430"/>
      <c r="C82" s="910" t="s">
        <v>166</v>
      </c>
      <c r="D82" s="772">
        <v>0</v>
      </c>
      <c r="E82" s="982"/>
      <c r="F82" s="982"/>
      <c r="G82" s="1029"/>
      <c r="H82" s="430"/>
      <c r="I82" s="93">
        <f t="shared" si="116"/>
        <v>0</v>
      </c>
      <c r="J82" s="946"/>
      <c r="K82" s="930" t="e">
        <f t="shared" si="117"/>
        <v>#DIV/0!</v>
      </c>
      <c r="L82" s="930" t="e">
        <f t="shared" si="118"/>
        <v>#DIV/0!</v>
      </c>
      <c r="M82" s="876"/>
      <c r="N82" s="984"/>
      <c r="O82" s="931">
        <f t="shared" si="123"/>
        <v>0</v>
      </c>
      <c r="P82" s="985"/>
      <c r="Q82" s="430"/>
      <c r="R82" s="876"/>
      <c r="S82" s="430"/>
      <c r="T82" s="430"/>
      <c r="U82" s="430"/>
      <c r="V82" s="430"/>
      <c r="W82" s="430"/>
      <c r="X82" s="876"/>
      <c r="Y82" s="430"/>
      <c r="Z82" s="430"/>
      <c r="AA82" s="430"/>
      <c r="AB82" s="430"/>
      <c r="AC82" s="430"/>
      <c r="AD82" s="876"/>
      <c r="AE82" s="430"/>
      <c r="AF82" s="430"/>
      <c r="AG82" s="430"/>
      <c r="AH82" s="430"/>
      <c r="AI82" s="430"/>
      <c r="AJ82" s="876"/>
      <c r="AK82" s="430"/>
      <c r="AL82" s="430"/>
      <c r="AM82" s="430"/>
      <c r="AN82" s="430"/>
      <c r="AO82" s="430"/>
      <c r="AP82" s="876"/>
      <c r="AQ82" s="430"/>
      <c r="AR82" s="430"/>
      <c r="AS82" s="430"/>
      <c r="AT82" s="430"/>
      <c r="AU82" s="430"/>
      <c r="AV82" s="876"/>
      <c r="AW82" s="912"/>
      <c r="AX82" s="912"/>
      <c r="AY82" s="912"/>
      <c r="AZ82" s="944"/>
      <c r="BA82" s="944"/>
      <c r="BB82" s="912"/>
      <c r="BC82" s="106"/>
      <c r="BD82" s="912"/>
      <c r="BE82" s="106"/>
      <c r="BF82" s="1034"/>
      <c r="BG82" s="1033"/>
      <c r="BH82" s="912"/>
      <c r="BI82" s="912"/>
      <c r="BJ82" s="1032"/>
      <c r="BK82" s="1032"/>
      <c r="BL82" s="430"/>
      <c r="BM82" s="430"/>
      <c r="BN82" s="876"/>
      <c r="BO82" s="430"/>
      <c r="BP82" s="430"/>
      <c r="BQ82" s="430"/>
      <c r="BR82" s="430"/>
      <c r="BS82" s="430"/>
      <c r="BT82" s="876"/>
      <c r="BU82" s="430"/>
      <c r="BV82" s="430"/>
      <c r="BW82" s="430"/>
      <c r="BX82" s="430"/>
      <c r="BY82" s="430"/>
      <c r="BZ82" s="984"/>
      <c r="CA82" s="430"/>
      <c r="CB82" s="430"/>
      <c r="CC82" s="430"/>
      <c r="CD82" s="430"/>
      <c r="CE82" s="430"/>
      <c r="CF82" s="876"/>
      <c r="CG82" s="876"/>
      <c r="CH82" s="876"/>
      <c r="CI82" s="430"/>
      <c r="CJ82" s="430"/>
      <c r="CK82" s="430"/>
      <c r="CL82" s="430"/>
      <c r="CM82" s="430"/>
      <c r="CN82" s="876"/>
      <c r="CO82" s="430"/>
      <c r="CP82" s="430"/>
      <c r="CQ82" s="430"/>
      <c r="CR82" s="430"/>
      <c r="CS82" s="876"/>
      <c r="CT82" s="430"/>
      <c r="CU82" s="430"/>
      <c r="CV82" s="430"/>
      <c r="CW82" s="430"/>
      <c r="CX82" s="430"/>
      <c r="CY82" s="876"/>
      <c r="CZ82" s="430"/>
      <c r="DA82" s="430"/>
      <c r="DB82" s="430"/>
      <c r="DC82" s="430"/>
      <c r="DD82" s="430"/>
      <c r="DE82" s="430"/>
      <c r="DF82" s="430"/>
      <c r="DG82" s="430"/>
      <c r="DH82" s="430"/>
      <c r="DI82" s="430"/>
      <c r="DJ82" s="430"/>
      <c r="DK82" s="430"/>
      <c r="DL82" s="430"/>
      <c r="DM82" s="430"/>
      <c r="DN82" s="430"/>
      <c r="DO82" s="430"/>
      <c r="DP82" s="430"/>
      <c r="DQ82" s="430"/>
      <c r="DR82" s="430"/>
      <c r="DS82" s="430"/>
      <c r="DT82" s="430"/>
      <c r="DU82" s="430"/>
      <c r="DV82" s="430"/>
      <c r="DW82" s="430"/>
      <c r="DX82" s="430"/>
      <c r="DY82" s="430"/>
      <c r="DZ82" s="430"/>
      <c r="EA82" s="430"/>
      <c r="EB82" s="430"/>
      <c r="EC82" s="430"/>
      <c r="ED82" s="430"/>
      <c r="EE82" s="430"/>
      <c r="EF82" s="430"/>
      <c r="EG82" s="430"/>
      <c r="EH82" s="430"/>
      <c r="EI82" s="984"/>
      <c r="EJ82" s="430"/>
      <c r="EK82" s="430"/>
      <c r="EL82" s="430"/>
      <c r="EM82" s="430"/>
      <c r="EN82" s="430"/>
      <c r="EO82" s="430"/>
      <c r="EP82" s="430"/>
      <c r="EQ82" s="430"/>
      <c r="ER82" s="430"/>
      <c r="ES82" s="430"/>
      <c r="ET82" s="430"/>
      <c r="EU82" s="430"/>
      <c r="EV82" s="430"/>
      <c r="EW82" s="430"/>
      <c r="EX82" s="430"/>
      <c r="EY82" s="430"/>
      <c r="EZ82" s="430"/>
      <c r="FA82" s="430"/>
      <c r="FB82" s="430"/>
      <c r="FC82" s="430"/>
      <c r="FD82" s="430"/>
      <c r="FE82" s="430"/>
      <c r="FF82" s="430"/>
      <c r="FG82" s="430"/>
      <c r="FH82" s="430"/>
      <c r="FI82" s="430"/>
      <c r="FJ82" s="430"/>
      <c r="FK82" s="430"/>
      <c r="FL82" s="430"/>
      <c r="FM82" s="430"/>
      <c r="FN82" s="430"/>
      <c r="FO82" s="1030" t="s">
        <v>166</v>
      </c>
      <c r="FP82" s="772"/>
      <c r="FQ82" s="982"/>
      <c r="FR82" s="982"/>
      <c r="FS82" s="983"/>
      <c r="FT82" s="430"/>
      <c r="FU82" s="93">
        <f t="shared" si="119"/>
        <v>0</v>
      </c>
      <c r="FV82" s="930" t="e">
        <f t="shared" si="120"/>
        <v>#DIV/0!</v>
      </c>
      <c r="FW82" s="930" t="e">
        <f t="shared" si="121"/>
        <v>#DIV/0!</v>
      </c>
      <c r="FX82" s="876"/>
      <c r="FY82" s="984"/>
      <c r="FZ82" s="931">
        <f t="shared" si="122"/>
        <v>0</v>
      </c>
      <c r="GA82" s="985"/>
    </row>
    <row r="83" spans="1:183">
      <c r="A83" s="906"/>
      <c r="B83" s="430"/>
      <c r="C83" s="910" t="s">
        <v>167</v>
      </c>
      <c r="D83" s="772">
        <v>2831.1</v>
      </c>
      <c r="E83" s="982"/>
      <c r="F83" s="982"/>
      <c r="G83" s="1029">
        <v>3.65</v>
      </c>
      <c r="H83" s="430"/>
      <c r="I83" s="93">
        <f t="shared" si="116"/>
        <v>2827.45</v>
      </c>
      <c r="J83" s="946"/>
      <c r="K83" s="930">
        <f t="shared" si="117"/>
        <v>1.2892515276747554E-3</v>
      </c>
      <c r="L83" s="930">
        <f t="shared" si="118"/>
        <v>0.99871074847232522</v>
      </c>
      <c r="M83" s="912">
        <v>4420</v>
      </c>
      <c r="N83" s="984"/>
      <c r="O83" s="931">
        <f t="shared" si="123"/>
        <v>1592.5500000000002</v>
      </c>
      <c r="P83" s="985"/>
      <c r="Q83" s="430"/>
      <c r="R83" s="876"/>
      <c r="S83" s="430"/>
      <c r="T83" s="430"/>
      <c r="U83" s="430"/>
      <c r="V83" s="430"/>
      <c r="W83" s="430"/>
      <c r="X83" s="876"/>
      <c r="Y83" s="430"/>
      <c r="Z83" s="430"/>
      <c r="AA83" s="430"/>
      <c r="AB83" s="430"/>
      <c r="AC83" s="430"/>
      <c r="AD83" s="876"/>
      <c r="AE83" s="430"/>
      <c r="AF83" s="430"/>
      <c r="AG83" s="430"/>
      <c r="AH83" s="430"/>
      <c r="AI83" s="430"/>
      <c r="AJ83" s="876"/>
      <c r="AK83" s="430"/>
      <c r="AL83" s="430"/>
      <c r="AM83" s="430"/>
      <c r="AN83" s="430"/>
      <c r="AO83" s="430"/>
      <c r="AP83" s="876"/>
      <c r="AQ83" s="430"/>
      <c r="AR83" s="430"/>
      <c r="AS83" s="430"/>
      <c r="AT83" s="430"/>
      <c r="AU83" s="430"/>
      <c r="AV83" s="876"/>
      <c r="AW83" s="912"/>
      <c r="AX83" s="912"/>
      <c r="AY83" s="912"/>
      <c r="AZ83" s="944"/>
      <c r="BA83" s="944"/>
      <c r="BB83" s="60"/>
      <c r="BC83" s="106"/>
      <c r="BD83" s="912"/>
      <c r="BE83" s="106"/>
      <c r="BF83" s="1034"/>
      <c r="BG83" s="1034"/>
      <c r="BH83" s="912"/>
      <c r="BI83" s="912"/>
      <c r="BJ83" s="1032"/>
      <c r="BK83" s="1032"/>
      <c r="BL83" s="430"/>
      <c r="BM83" s="430"/>
      <c r="BN83" s="876"/>
      <c r="BO83" s="430"/>
      <c r="BP83" s="430"/>
      <c r="BQ83" s="430"/>
      <c r="BR83" s="430"/>
      <c r="BS83" s="430"/>
      <c r="BT83" s="876"/>
      <c r="BU83" s="430"/>
      <c r="BV83" s="430"/>
      <c r="BW83" s="430"/>
      <c r="BX83" s="430"/>
      <c r="BY83" s="430"/>
      <c r="BZ83" s="984"/>
      <c r="CA83" s="430"/>
      <c r="CB83" s="430"/>
      <c r="CC83" s="430"/>
      <c r="CD83" s="430"/>
      <c r="CE83" s="430"/>
      <c r="CF83" s="876"/>
      <c r="CG83" s="876"/>
      <c r="CH83" s="876"/>
      <c r="CI83" s="430"/>
      <c r="CJ83" s="430"/>
      <c r="CK83" s="430"/>
      <c r="CL83" s="430"/>
      <c r="CM83" s="430"/>
      <c r="CN83" s="876"/>
      <c r="CO83" s="430"/>
      <c r="CP83" s="430"/>
      <c r="CQ83" s="430"/>
      <c r="CR83" s="430"/>
      <c r="CS83" s="876"/>
      <c r="CT83" s="430"/>
      <c r="CU83" s="430"/>
      <c r="CV83" s="430"/>
      <c r="CW83" s="430"/>
      <c r="CX83" s="430"/>
      <c r="CY83" s="876"/>
      <c r="CZ83" s="430"/>
      <c r="DA83" s="430"/>
      <c r="DB83" s="430"/>
      <c r="DC83" s="430"/>
      <c r="DD83" s="430"/>
      <c r="DE83" s="430"/>
      <c r="DF83" s="430"/>
      <c r="DG83" s="430"/>
      <c r="DH83" s="430"/>
      <c r="DI83" s="430"/>
      <c r="DJ83" s="430"/>
      <c r="DK83" s="430"/>
      <c r="DL83" s="430"/>
      <c r="DM83" s="430"/>
      <c r="DN83" s="430"/>
      <c r="DO83" s="430"/>
      <c r="DP83" s="430"/>
      <c r="DQ83" s="430"/>
      <c r="DR83" s="430"/>
      <c r="DS83" s="430"/>
      <c r="DT83" s="430"/>
      <c r="DU83" s="430"/>
      <c r="DV83" s="430"/>
      <c r="DW83" s="430"/>
      <c r="DX83" s="430"/>
      <c r="DY83" s="430"/>
      <c r="DZ83" s="430"/>
      <c r="EA83" s="430"/>
      <c r="EB83" s="430"/>
      <c r="EC83" s="430"/>
      <c r="ED83" s="430"/>
      <c r="EE83" s="430"/>
      <c r="EF83" s="430"/>
      <c r="EG83" s="430"/>
      <c r="EH83" s="430"/>
      <c r="EI83" s="984"/>
      <c r="EJ83" s="430"/>
      <c r="EK83" s="430"/>
      <c r="EL83" s="430"/>
      <c r="EM83" s="430"/>
      <c r="EN83" s="430"/>
      <c r="EO83" s="430"/>
      <c r="EP83" s="430"/>
      <c r="EQ83" s="430"/>
      <c r="ER83" s="430"/>
      <c r="ES83" s="430"/>
      <c r="ET83" s="430"/>
      <c r="EU83" s="430"/>
      <c r="EV83" s="430"/>
      <c r="EW83" s="430"/>
      <c r="EX83" s="430"/>
      <c r="EY83" s="430"/>
      <c r="EZ83" s="430"/>
      <c r="FA83" s="430"/>
      <c r="FB83" s="430"/>
      <c r="FC83" s="430"/>
      <c r="FD83" s="430"/>
      <c r="FE83" s="430"/>
      <c r="FF83" s="430"/>
      <c r="FG83" s="430"/>
      <c r="FH83" s="430"/>
      <c r="FI83" s="430"/>
      <c r="FJ83" s="430"/>
      <c r="FK83" s="430"/>
      <c r="FL83" s="430"/>
      <c r="FM83" s="430"/>
      <c r="FN83" s="430"/>
      <c r="FO83" s="1030" t="s">
        <v>167</v>
      </c>
      <c r="FP83" s="772"/>
      <c r="FQ83" s="982"/>
      <c r="FR83" s="982"/>
      <c r="FS83" s="983"/>
      <c r="FT83" s="430"/>
      <c r="FU83" s="93">
        <f t="shared" si="119"/>
        <v>0</v>
      </c>
      <c r="FV83" s="930" t="e">
        <f t="shared" si="120"/>
        <v>#DIV/0!</v>
      </c>
      <c r="FW83" s="930" t="e">
        <f t="shared" si="121"/>
        <v>#DIV/0!</v>
      </c>
      <c r="FX83" s="912">
        <v>4219</v>
      </c>
      <c r="FY83" s="984"/>
      <c r="FZ83" s="931">
        <f t="shared" si="122"/>
        <v>4219</v>
      </c>
      <c r="GA83" s="985"/>
    </row>
    <row r="84" spans="1:183">
      <c r="A84" s="906"/>
      <c r="B84" s="430"/>
      <c r="C84" s="910" t="s">
        <v>19</v>
      </c>
      <c r="D84" s="772">
        <v>0</v>
      </c>
      <c r="E84" s="982"/>
      <c r="F84" s="982"/>
      <c r="G84" s="1035"/>
      <c r="H84" s="430"/>
      <c r="I84" s="93">
        <f t="shared" si="116"/>
        <v>0</v>
      </c>
      <c r="J84" s="946"/>
      <c r="K84" s="930" t="e">
        <f t="shared" si="117"/>
        <v>#DIV/0!</v>
      </c>
      <c r="L84" s="930" t="e">
        <f t="shared" si="118"/>
        <v>#DIV/0!</v>
      </c>
      <c r="M84" s="876"/>
      <c r="N84" s="984"/>
      <c r="O84" s="931">
        <f t="shared" si="123"/>
        <v>0</v>
      </c>
      <c r="P84" s="985"/>
      <c r="Q84" s="430"/>
      <c r="R84" s="876"/>
      <c r="S84" s="430"/>
      <c r="T84" s="430"/>
      <c r="U84" s="430"/>
      <c r="V84" s="430"/>
      <c r="W84" s="430"/>
      <c r="X84" s="876"/>
      <c r="Y84" s="430"/>
      <c r="Z84" s="430"/>
      <c r="AA84" s="430"/>
      <c r="AB84" s="430"/>
      <c r="AC84" s="430"/>
      <c r="AD84" s="876"/>
      <c r="AE84" s="430"/>
      <c r="AF84" s="430"/>
      <c r="AG84" s="430"/>
      <c r="AH84" s="430"/>
      <c r="AI84" s="430"/>
      <c r="AJ84" s="876"/>
      <c r="AK84" s="430"/>
      <c r="AL84" s="430"/>
      <c r="AM84" s="430"/>
      <c r="AN84" s="430"/>
      <c r="AO84" s="430"/>
      <c r="AP84" s="876"/>
      <c r="AQ84" s="430"/>
      <c r="AR84" s="430"/>
      <c r="AS84" s="430"/>
      <c r="AT84" s="430"/>
      <c r="AU84" s="430"/>
      <c r="AV84" s="876"/>
      <c r="AW84" s="912"/>
      <c r="AX84" s="912"/>
      <c r="AY84" s="912"/>
      <c r="AZ84" s="912"/>
      <c r="BA84" s="944"/>
      <c r="BB84" s="61"/>
      <c r="BC84" s="106"/>
      <c r="BD84" s="912"/>
      <c r="BE84" s="106"/>
      <c r="BF84" s="1033"/>
      <c r="BG84" s="1033"/>
      <c r="BH84" s="912"/>
      <c r="BI84" s="912"/>
      <c r="BJ84" s="1032"/>
      <c r="BK84" s="1032"/>
      <c r="BL84" s="430"/>
      <c r="BM84" s="430"/>
      <c r="BN84" s="876"/>
      <c r="BO84" s="430"/>
      <c r="BP84" s="430"/>
      <c r="BQ84" s="430"/>
      <c r="BR84" s="430"/>
      <c r="BS84" s="430"/>
      <c r="BT84" s="876"/>
      <c r="BU84" s="430"/>
      <c r="BV84" s="430"/>
      <c r="BW84" s="430"/>
      <c r="BX84" s="430"/>
      <c r="BY84" s="430"/>
      <c r="BZ84" s="984"/>
      <c r="CA84" s="430"/>
      <c r="CB84" s="430"/>
      <c r="CC84" s="430"/>
      <c r="CD84" s="430"/>
      <c r="CE84" s="430"/>
      <c r="CF84" s="876"/>
      <c r="CG84" s="876"/>
      <c r="CH84" s="876"/>
      <c r="CI84" s="430"/>
      <c r="CJ84" s="430"/>
      <c r="CK84" s="430"/>
      <c r="CL84" s="430"/>
      <c r="CM84" s="430"/>
      <c r="CN84" s="876"/>
      <c r="CO84" s="430"/>
      <c r="CP84" s="430"/>
      <c r="CQ84" s="430"/>
      <c r="CR84" s="430"/>
      <c r="CS84" s="876"/>
      <c r="CT84" s="430"/>
      <c r="CU84" s="430"/>
      <c r="CV84" s="430"/>
      <c r="CW84" s="430"/>
      <c r="CX84" s="430"/>
      <c r="CY84" s="876"/>
      <c r="CZ84" s="430"/>
      <c r="DA84" s="430"/>
      <c r="DB84" s="430"/>
      <c r="DC84" s="430"/>
      <c r="DD84" s="430"/>
      <c r="DE84" s="430"/>
      <c r="DF84" s="430"/>
      <c r="DG84" s="430"/>
      <c r="DH84" s="430"/>
      <c r="DI84" s="430"/>
      <c r="DJ84" s="430"/>
      <c r="DK84" s="430"/>
      <c r="DL84" s="430"/>
      <c r="DM84" s="430"/>
      <c r="DN84" s="430"/>
      <c r="DO84" s="430"/>
      <c r="DP84" s="430"/>
      <c r="DQ84" s="430"/>
      <c r="DR84" s="430"/>
      <c r="DS84" s="430"/>
      <c r="DT84" s="430"/>
      <c r="DU84" s="430"/>
      <c r="DV84" s="430"/>
      <c r="DW84" s="430"/>
      <c r="DX84" s="430"/>
      <c r="DY84" s="430"/>
      <c r="DZ84" s="430"/>
      <c r="EA84" s="430"/>
      <c r="EB84" s="430"/>
      <c r="EC84" s="430"/>
      <c r="ED84" s="430"/>
      <c r="EE84" s="430"/>
      <c r="EF84" s="430"/>
      <c r="EG84" s="430"/>
      <c r="EH84" s="430"/>
      <c r="EI84" s="984"/>
      <c r="EJ84" s="430"/>
      <c r="EK84" s="430"/>
      <c r="EL84" s="430"/>
      <c r="EM84" s="430"/>
      <c r="EN84" s="430"/>
      <c r="EO84" s="430"/>
      <c r="EP84" s="430"/>
      <c r="EQ84" s="430"/>
      <c r="ER84" s="430"/>
      <c r="ES84" s="430"/>
      <c r="ET84" s="430"/>
      <c r="EU84" s="430"/>
      <c r="EV84" s="430"/>
      <c r="EW84" s="430"/>
      <c r="EX84" s="430"/>
      <c r="EY84" s="430"/>
      <c r="EZ84" s="430"/>
      <c r="FA84" s="430"/>
      <c r="FB84" s="430"/>
      <c r="FC84" s="430"/>
      <c r="FD84" s="430"/>
      <c r="FE84" s="430"/>
      <c r="FF84" s="430"/>
      <c r="FG84" s="430"/>
      <c r="FH84" s="430"/>
      <c r="FI84" s="430"/>
      <c r="FJ84" s="430"/>
      <c r="FK84" s="430"/>
      <c r="FL84" s="430"/>
      <c r="FM84" s="430"/>
      <c r="FN84" s="430"/>
      <c r="FO84" s="1030" t="s">
        <v>19</v>
      </c>
      <c r="FP84" s="772">
        <v>0</v>
      </c>
      <c r="FQ84" s="982"/>
      <c r="FR84" s="982"/>
      <c r="FS84" s="983"/>
      <c r="FT84" s="430"/>
      <c r="FU84" s="93">
        <f t="shared" si="119"/>
        <v>0</v>
      </c>
      <c r="FV84" s="930" t="e">
        <f t="shared" si="120"/>
        <v>#DIV/0!</v>
      </c>
      <c r="FW84" s="930" t="e">
        <f t="shared" si="121"/>
        <v>#DIV/0!</v>
      </c>
      <c r="FX84" s="876"/>
      <c r="FY84" s="984"/>
      <c r="FZ84" s="931">
        <f t="shared" si="122"/>
        <v>0</v>
      </c>
      <c r="GA84" s="985"/>
    </row>
    <row r="85" spans="1:183">
      <c r="A85" s="906"/>
      <c r="B85" s="430"/>
      <c r="C85" s="910" t="s">
        <v>168</v>
      </c>
      <c r="D85" s="772">
        <v>0</v>
      </c>
      <c r="E85" s="982"/>
      <c r="F85" s="982"/>
      <c r="G85" s="1035"/>
      <c r="H85" s="430"/>
      <c r="I85" s="93">
        <f t="shared" si="116"/>
        <v>0</v>
      </c>
      <c r="J85" s="946"/>
      <c r="K85" s="930" t="e">
        <f t="shared" si="117"/>
        <v>#DIV/0!</v>
      </c>
      <c r="L85" s="930" t="e">
        <f t="shared" si="118"/>
        <v>#DIV/0!</v>
      </c>
      <c r="M85" s="876"/>
      <c r="N85" s="984"/>
      <c r="O85" s="931">
        <f t="shared" si="123"/>
        <v>0</v>
      </c>
      <c r="P85" s="985"/>
      <c r="Q85" s="430"/>
      <c r="R85" s="876"/>
      <c r="S85" s="430"/>
      <c r="T85" s="430"/>
      <c r="U85" s="430"/>
      <c r="V85" s="430"/>
      <c r="W85" s="430"/>
      <c r="X85" s="876"/>
      <c r="Y85" s="430"/>
      <c r="Z85" s="430"/>
      <c r="AA85" s="430"/>
      <c r="AB85" s="430"/>
      <c r="AC85" s="430"/>
      <c r="AD85" s="876"/>
      <c r="AE85" s="430"/>
      <c r="AF85" s="430"/>
      <c r="AG85" s="430"/>
      <c r="AH85" s="430"/>
      <c r="AI85" s="430"/>
      <c r="AJ85" s="876"/>
      <c r="AK85" s="430"/>
      <c r="AL85" s="430"/>
      <c r="AM85" s="430"/>
      <c r="AN85" s="430"/>
      <c r="AO85" s="430"/>
      <c r="AP85" s="876"/>
      <c r="AQ85" s="430"/>
      <c r="AR85" s="430"/>
      <c r="AS85" s="430"/>
      <c r="AT85" s="430"/>
      <c r="AU85" s="430"/>
      <c r="AV85" s="876"/>
      <c r="AW85" s="912"/>
      <c r="AX85" s="912"/>
      <c r="AY85" s="912"/>
      <c r="AZ85" s="944"/>
      <c r="BA85" s="944"/>
      <c r="BB85" s="912"/>
      <c r="BC85" s="106"/>
      <c r="BD85" s="912"/>
      <c r="BE85" s="106"/>
      <c r="BF85" s="1033"/>
      <c r="BG85" s="1033"/>
      <c r="BH85" s="912"/>
      <c r="BI85" s="912"/>
      <c r="BJ85" s="1032"/>
      <c r="BK85" s="1032"/>
      <c r="BL85" s="430"/>
      <c r="BM85" s="430"/>
      <c r="BN85" s="876"/>
      <c r="BO85" s="430"/>
      <c r="BP85" s="430"/>
      <c r="BQ85" s="430"/>
      <c r="BR85" s="430"/>
      <c r="BS85" s="430"/>
      <c r="BT85" s="876"/>
      <c r="BU85" s="430"/>
      <c r="BV85" s="430"/>
      <c r="BW85" s="430"/>
      <c r="BX85" s="430"/>
      <c r="BY85" s="430"/>
      <c r="BZ85" s="984"/>
      <c r="CA85" s="430"/>
      <c r="CB85" s="430"/>
      <c r="CC85" s="430"/>
      <c r="CD85" s="430"/>
      <c r="CE85" s="430"/>
      <c r="CF85" s="876"/>
      <c r="CG85" s="876"/>
      <c r="CH85" s="876"/>
      <c r="CI85" s="430"/>
      <c r="CJ85" s="430"/>
      <c r="CK85" s="430"/>
      <c r="CL85" s="430"/>
      <c r="CM85" s="430"/>
      <c r="CN85" s="876"/>
      <c r="CO85" s="430"/>
      <c r="CP85" s="430"/>
      <c r="CQ85" s="430"/>
      <c r="CR85" s="430"/>
      <c r="CS85" s="876"/>
      <c r="CT85" s="430"/>
      <c r="CU85" s="430"/>
      <c r="CV85" s="430"/>
      <c r="CW85" s="430"/>
      <c r="CX85" s="430"/>
      <c r="CY85" s="876"/>
      <c r="CZ85" s="430"/>
      <c r="DA85" s="430"/>
      <c r="DB85" s="430"/>
      <c r="DC85" s="430"/>
      <c r="DD85" s="430"/>
      <c r="DE85" s="430"/>
      <c r="DF85" s="430"/>
      <c r="DG85" s="430"/>
      <c r="DH85" s="430"/>
      <c r="DI85" s="430"/>
      <c r="DJ85" s="430"/>
      <c r="DK85" s="430"/>
      <c r="DL85" s="430"/>
      <c r="DM85" s="430"/>
      <c r="DN85" s="430"/>
      <c r="DO85" s="430"/>
      <c r="DP85" s="430"/>
      <c r="DQ85" s="430"/>
      <c r="DR85" s="430"/>
      <c r="DS85" s="430"/>
      <c r="DT85" s="430"/>
      <c r="DU85" s="430"/>
      <c r="DV85" s="430"/>
      <c r="DW85" s="430"/>
      <c r="DX85" s="430"/>
      <c r="DY85" s="430"/>
      <c r="DZ85" s="430"/>
      <c r="EA85" s="430"/>
      <c r="EB85" s="430"/>
      <c r="EC85" s="430"/>
      <c r="ED85" s="430"/>
      <c r="EE85" s="430"/>
      <c r="EF85" s="430"/>
      <c r="EG85" s="430"/>
      <c r="EH85" s="430"/>
      <c r="EI85" s="984"/>
      <c r="EJ85" s="430"/>
      <c r="EK85" s="430"/>
      <c r="EL85" s="430"/>
      <c r="EM85" s="430"/>
      <c r="EN85" s="430"/>
      <c r="EO85" s="430"/>
      <c r="EP85" s="430"/>
      <c r="EQ85" s="430"/>
      <c r="ER85" s="430"/>
      <c r="ES85" s="430"/>
      <c r="ET85" s="430"/>
      <c r="EU85" s="430"/>
      <c r="EV85" s="430"/>
      <c r="EW85" s="430"/>
      <c r="EX85" s="430"/>
      <c r="EY85" s="430"/>
      <c r="EZ85" s="430"/>
      <c r="FA85" s="430"/>
      <c r="FB85" s="430"/>
      <c r="FC85" s="430"/>
      <c r="FD85" s="430"/>
      <c r="FE85" s="430"/>
      <c r="FF85" s="430"/>
      <c r="FG85" s="430"/>
      <c r="FH85" s="430"/>
      <c r="FI85" s="430"/>
      <c r="FJ85" s="430"/>
      <c r="FK85" s="430"/>
      <c r="FL85" s="430"/>
      <c r="FM85" s="430"/>
      <c r="FN85" s="430"/>
      <c r="FO85" s="1030" t="s">
        <v>168</v>
      </c>
      <c r="FP85" s="772">
        <v>0</v>
      </c>
      <c r="FQ85" s="982"/>
      <c r="FR85" s="982"/>
      <c r="FS85" s="983"/>
      <c r="FT85" s="430"/>
      <c r="FU85" s="93">
        <f t="shared" si="119"/>
        <v>0</v>
      </c>
      <c r="FV85" s="930" t="e">
        <f t="shared" si="120"/>
        <v>#DIV/0!</v>
      </c>
      <c r="FW85" s="930" t="e">
        <f t="shared" si="121"/>
        <v>#DIV/0!</v>
      </c>
      <c r="FX85" s="876"/>
      <c r="FY85" s="984"/>
      <c r="FZ85" s="931">
        <f t="shared" si="122"/>
        <v>0</v>
      </c>
      <c r="GA85" s="985"/>
    </row>
    <row r="86" spans="1:183">
      <c r="A86" s="906"/>
      <c r="B86" s="430"/>
      <c r="C86" s="910" t="s">
        <v>169</v>
      </c>
      <c r="D86" s="772">
        <v>0</v>
      </c>
      <c r="E86" s="982"/>
      <c r="F86" s="982"/>
      <c r="G86" s="1035"/>
      <c r="H86" s="430"/>
      <c r="I86" s="93">
        <f t="shared" si="116"/>
        <v>0</v>
      </c>
      <c r="J86" s="946"/>
      <c r="K86" s="930" t="e">
        <f t="shared" si="117"/>
        <v>#DIV/0!</v>
      </c>
      <c r="L86" s="930" t="e">
        <f t="shared" si="118"/>
        <v>#DIV/0!</v>
      </c>
      <c r="M86" s="876"/>
      <c r="N86" s="984"/>
      <c r="O86" s="931">
        <f t="shared" si="123"/>
        <v>0</v>
      </c>
      <c r="P86" s="985"/>
      <c r="Q86" s="430"/>
      <c r="R86" s="876"/>
      <c r="S86" s="430"/>
      <c r="T86" s="430"/>
      <c r="U86" s="430"/>
      <c r="V86" s="430"/>
      <c r="W86" s="430"/>
      <c r="X86" s="876"/>
      <c r="Y86" s="430"/>
      <c r="Z86" s="430"/>
      <c r="AA86" s="430"/>
      <c r="AB86" s="430"/>
      <c r="AC86" s="430"/>
      <c r="AD86" s="876"/>
      <c r="AE86" s="430"/>
      <c r="AF86" s="430"/>
      <c r="AG86" s="430"/>
      <c r="AH86" s="430"/>
      <c r="AI86" s="430"/>
      <c r="AJ86" s="876"/>
      <c r="AK86" s="430"/>
      <c r="AL86" s="430"/>
      <c r="AM86" s="430"/>
      <c r="AN86" s="430"/>
      <c r="AO86" s="430"/>
      <c r="AP86" s="876"/>
      <c r="AQ86" s="430"/>
      <c r="AR86" s="430"/>
      <c r="AS86" s="430"/>
      <c r="AT86" s="430"/>
      <c r="AU86" s="430"/>
      <c r="AV86" s="876"/>
      <c r="AW86" s="912"/>
      <c r="AX86" s="912"/>
      <c r="AY86" s="912"/>
      <c r="AZ86" s="944"/>
      <c r="BA86" s="944"/>
      <c r="BB86" s="912"/>
      <c r="BC86" s="106"/>
      <c r="BD86" s="912"/>
      <c r="BE86" s="106"/>
      <c r="BF86" s="1034"/>
      <c r="BG86" s="1034"/>
      <c r="BH86" s="912"/>
      <c r="BI86" s="912"/>
      <c r="BJ86" s="1032"/>
      <c r="BK86" s="1032"/>
      <c r="BL86" s="430"/>
      <c r="BM86" s="430"/>
      <c r="BN86" s="876"/>
      <c r="BO86" s="430"/>
      <c r="BP86" s="430"/>
      <c r="BQ86" s="430"/>
      <c r="BR86" s="430"/>
      <c r="BS86" s="430"/>
      <c r="BT86" s="876"/>
      <c r="BU86" s="430"/>
      <c r="BV86" s="430"/>
      <c r="BW86" s="430"/>
      <c r="BX86" s="430"/>
      <c r="BY86" s="430"/>
      <c r="BZ86" s="984"/>
      <c r="CA86" s="430"/>
      <c r="CB86" s="430"/>
      <c r="CC86" s="430"/>
      <c r="CD86" s="430"/>
      <c r="CE86" s="430"/>
      <c r="CF86" s="876"/>
      <c r="CG86" s="876"/>
      <c r="CH86" s="876"/>
      <c r="CI86" s="430"/>
      <c r="CJ86" s="430"/>
      <c r="CK86" s="430"/>
      <c r="CL86" s="430"/>
      <c r="CM86" s="430"/>
      <c r="CN86" s="876"/>
      <c r="CO86" s="430"/>
      <c r="CP86" s="430"/>
      <c r="CQ86" s="430"/>
      <c r="CR86" s="430"/>
      <c r="CS86" s="876"/>
      <c r="CT86" s="430"/>
      <c r="CU86" s="430"/>
      <c r="CV86" s="430"/>
      <c r="CW86" s="430"/>
      <c r="CX86" s="430"/>
      <c r="CY86" s="876"/>
      <c r="CZ86" s="430"/>
      <c r="DA86" s="430"/>
      <c r="DB86" s="430"/>
      <c r="DC86" s="430"/>
      <c r="DD86" s="430"/>
      <c r="DE86" s="430"/>
      <c r="DF86" s="430"/>
      <c r="DG86" s="430"/>
      <c r="DH86" s="430"/>
      <c r="DI86" s="430"/>
      <c r="DJ86" s="430"/>
      <c r="DK86" s="430"/>
      <c r="DL86" s="430"/>
      <c r="DM86" s="430"/>
      <c r="DN86" s="430"/>
      <c r="DO86" s="430"/>
      <c r="DP86" s="430"/>
      <c r="DQ86" s="430"/>
      <c r="DR86" s="430"/>
      <c r="DS86" s="430"/>
      <c r="DT86" s="430"/>
      <c r="DU86" s="430"/>
      <c r="DV86" s="430"/>
      <c r="DW86" s="430"/>
      <c r="DX86" s="430"/>
      <c r="DY86" s="430"/>
      <c r="DZ86" s="430"/>
      <c r="EA86" s="430"/>
      <c r="EB86" s="430"/>
      <c r="EC86" s="430"/>
      <c r="ED86" s="430"/>
      <c r="EE86" s="430"/>
      <c r="EF86" s="430"/>
      <c r="EG86" s="430"/>
      <c r="EH86" s="430"/>
      <c r="EI86" s="984"/>
      <c r="EJ86" s="430"/>
      <c r="EK86" s="430"/>
      <c r="EL86" s="430"/>
      <c r="EM86" s="430"/>
      <c r="EN86" s="430"/>
      <c r="EO86" s="430"/>
      <c r="EP86" s="430"/>
      <c r="EQ86" s="430"/>
      <c r="ER86" s="430"/>
      <c r="ES86" s="430"/>
      <c r="ET86" s="430"/>
      <c r="EU86" s="430"/>
      <c r="EV86" s="430"/>
      <c r="EW86" s="430"/>
      <c r="EX86" s="430"/>
      <c r="EY86" s="430"/>
      <c r="EZ86" s="430"/>
      <c r="FA86" s="430"/>
      <c r="FB86" s="430"/>
      <c r="FC86" s="430"/>
      <c r="FD86" s="430"/>
      <c r="FE86" s="430"/>
      <c r="FF86" s="430"/>
      <c r="FG86" s="430"/>
      <c r="FH86" s="430"/>
      <c r="FI86" s="430"/>
      <c r="FJ86" s="430"/>
      <c r="FK86" s="430"/>
      <c r="FL86" s="430"/>
      <c r="FM86" s="430"/>
      <c r="FN86" s="430"/>
      <c r="FO86" s="1030" t="s">
        <v>169</v>
      </c>
      <c r="FP86" s="772">
        <v>0</v>
      </c>
      <c r="FQ86" s="982"/>
      <c r="FR86" s="982"/>
      <c r="FS86" s="983"/>
      <c r="FT86" s="430"/>
      <c r="FU86" s="93">
        <f t="shared" si="119"/>
        <v>0</v>
      </c>
      <c r="FV86" s="930" t="e">
        <f t="shared" si="120"/>
        <v>#DIV/0!</v>
      </c>
      <c r="FW86" s="930" t="e">
        <f t="shared" si="121"/>
        <v>#DIV/0!</v>
      </c>
      <c r="FX86" s="876"/>
      <c r="FY86" s="984"/>
      <c r="FZ86" s="931">
        <f t="shared" si="122"/>
        <v>0</v>
      </c>
      <c r="GA86" s="985"/>
    </row>
    <row r="87" spans="1:183" ht="13.5" thickBot="1">
      <c r="A87" s="949"/>
      <c r="B87" s="430"/>
      <c r="C87" s="124" t="s">
        <v>57</v>
      </c>
      <c r="D87" s="15">
        <f>SUM(D78:D86)</f>
        <v>45176.78</v>
      </c>
      <c r="E87" s="87">
        <f>SUM(E78:E86)</f>
        <v>-34</v>
      </c>
      <c r="F87" s="125">
        <f>SUM(F78:F86)</f>
        <v>0</v>
      </c>
      <c r="G87" s="125">
        <f>SUM(G78:G86)</f>
        <v>128.16999999999999</v>
      </c>
      <c r="H87" s="430"/>
      <c r="I87" s="126">
        <f>SUM(I78:I86)</f>
        <v>45014.61</v>
      </c>
      <c r="J87" s="1036"/>
      <c r="K87" s="33">
        <f t="shared" si="117"/>
        <v>2.8392137125803946E-3</v>
      </c>
      <c r="L87" s="33">
        <f t="shared" si="118"/>
        <v>0.99716078628741955</v>
      </c>
      <c r="M87" s="79">
        <f>SUM(M78:M86)</f>
        <v>46907</v>
      </c>
      <c r="N87" s="127">
        <v>5046</v>
      </c>
      <c r="O87" s="128">
        <f t="shared" si="123"/>
        <v>1892.3899999999994</v>
      </c>
      <c r="P87" s="128">
        <f>M87+N87-I87</f>
        <v>6938.3899999999994</v>
      </c>
      <c r="Q87" s="430"/>
      <c r="R87" s="876"/>
      <c r="S87" s="430"/>
      <c r="T87" s="430"/>
      <c r="U87" s="430"/>
      <c r="V87" s="430"/>
      <c r="W87" s="430"/>
      <c r="X87" s="876"/>
      <c r="Y87" s="430"/>
      <c r="Z87" s="430"/>
      <c r="AA87" s="430"/>
      <c r="AB87" s="430"/>
      <c r="AC87" s="430"/>
      <c r="AD87" s="876"/>
      <c r="AE87" s="430"/>
      <c r="AF87" s="430"/>
      <c r="AG87" s="430"/>
      <c r="AH87" s="430"/>
      <c r="AI87" s="430"/>
      <c r="AJ87" s="876"/>
      <c r="AK87" s="430"/>
      <c r="AL87" s="430"/>
      <c r="AM87" s="430"/>
      <c r="AN87" s="430"/>
      <c r="AO87" s="430"/>
      <c r="AP87" s="876"/>
      <c r="AQ87" s="430"/>
      <c r="AR87" s="430"/>
      <c r="AS87" s="430"/>
      <c r="AT87" s="430"/>
      <c r="AU87" s="430"/>
      <c r="AV87" s="876"/>
      <c r="AW87" s="912"/>
      <c r="AX87" s="912"/>
      <c r="AY87" s="912"/>
      <c r="AZ87" s="944"/>
      <c r="BA87" s="944"/>
      <c r="BB87" s="61"/>
      <c r="BC87" s="106"/>
      <c r="BD87" s="912"/>
      <c r="BE87" s="106"/>
      <c r="BF87" s="1033"/>
      <c r="BG87" s="1033"/>
      <c r="BH87" s="912"/>
      <c r="BI87" s="912"/>
      <c r="BJ87" s="1032"/>
      <c r="BK87" s="1032"/>
      <c r="BL87" s="430"/>
      <c r="BM87" s="430"/>
      <c r="BN87" s="876"/>
      <c r="BO87" s="430"/>
      <c r="BP87" s="430"/>
      <c r="BQ87" s="430"/>
      <c r="BR87" s="430"/>
      <c r="BS87" s="430"/>
      <c r="BT87" s="876"/>
      <c r="BU87" s="430"/>
      <c r="BV87" s="430"/>
      <c r="BW87" s="430"/>
      <c r="BX87" s="430"/>
      <c r="BY87" s="430"/>
      <c r="BZ87" s="984"/>
      <c r="CA87" s="430"/>
      <c r="CB87" s="430"/>
      <c r="CC87" s="430"/>
      <c r="CD87" s="430"/>
      <c r="CE87" s="430"/>
      <c r="CF87" s="876"/>
      <c r="CG87" s="876"/>
      <c r="CH87" s="876"/>
      <c r="CI87" s="430"/>
      <c r="CJ87" s="430"/>
      <c r="CK87" s="430"/>
      <c r="CL87" s="430"/>
      <c r="CM87" s="430"/>
      <c r="CN87" s="876"/>
      <c r="CO87" s="430"/>
      <c r="CP87" s="430"/>
      <c r="CQ87" s="430"/>
      <c r="CR87" s="430"/>
      <c r="CS87" s="876"/>
      <c r="CT87" s="430"/>
      <c r="CU87" s="430"/>
      <c r="CV87" s="430"/>
      <c r="CW87" s="430"/>
      <c r="CX87" s="430"/>
      <c r="CY87" s="876"/>
      <c r="CZ87" s="430"/>
      <c r="DA87" s="430"/>
      <c r="DB87" s="430"/>
      <c r="DC87" s="430"/>
      <c r="DD87" s="430"/>
      <c r="DE87" s="430"/>
      <c r="DF87" s="430"/>
      <c r="DG87" s="430"/>
      <c r="DH87" s="430"/>
      <c r="DI87" s="430"/>
      <c r="DJ87" s="430"/>
      <c r="DK87" s="430"/>
      <c r="DL87" s="430"/>
      <c r="DM87" s="430"/>
      <c r="DN87" s="430"/>
      <c r="DO87" s="430"/>
      <c r="DP87" s="430"/>
      <c r="DQ87" s="430"/>
      <c r="DR87" s="430"/>
      <c r="DS87" s="430"/>
      <c r="DT87" s="430"/>
      <c r="DU87" s="430"/>
      <c r="DV87" s="430"/>
      <c r="DW87" s="430"/>
      <c r="DX87" s="430"/>
      <c r="DY87" s="430"/>
      <c r="DZ87" s="430"/>
      <c r="EA87" s="430"/>
      <c r="EB87" s="430"/>
      <c r="EC87" s="430"/>
      <c r="ED87" s="430"/>
      <c r="EE87" s="430"/>
      <c r="EF87" s="430"/>
      <c r="EG87" s="430"/>
      <c r="EH87" s="430"/>
      <c r="EI87" s="984"/>
      <c r="EJ87" s="430"/>
      <c r="EK87" s="430"/>
      <c r="EL87" s="430"/>
      <c r="EM87" s="430"/>
      <c r="EN87" s="430"/>
      <c r="EO87" s="430"/>
      <c r="EP87" s="430"/>
      <c r="EQ87" s="430"/>
      <c r="ER87" s="430"/>
      <c r="ES87" s="430"/>
      <c r="ET87" s="430"/>
      <c r="EU87" s="430"/>
      <c r="EV87" s="430"/>
      <c r="EW87" s="430"/>
      <c r="EX87" s="430"/>
      <c r="EY87" s="430"/>
      <c r="EZ87" s="430"/>
      <c r="FA87" s="430"/>
      <c r="FB87" s="430"/>
      <c r="FC87" s="430"/>
      <c r="FD87" s="430"/>
      <c r="FE87" s="430"/>
      <c r="FF87" s="430"/>
      <c r="FG87" s="430"/>
      <c r="FH87" s="430"/>
      <c r="FI87" s="430"/>
      <c r="FJ87" s="430"/>
      <c r="FK87" s="430"/>
      <c r="FL87" s="430"/>
      <c r="FM87" s="430"/>
      <c r="FN87" s="430"/>
      <c r="FO87" s="138" t="s">
        <v>57</v>
      </c>
      <c r="FP87" s="139">
        <f>SUM(FP78:FP86)</f>
        <v>0</v>
      </c>
      <c r="FQ87" s="139">
        <f>SUM(FQ78:FQ86)</f>
        <v>0</v>
      </c>
      <c r="FR87" s="139">
        <f>SUM(FR78:FR86)</f>
        <v>0</v>
      </c>
      <c r="FS87" s="139">
        <f>SUM(FS78:FS86)</f>
        <v>0</v>
      </c>
      <c r="FT87" s="430"/>
      <c r="FU87" s="126">
        <f>SUM(FU78:FU86)</f>
        <v>0</v>
      </c>
      <c r="FV87" s="33" t="e">
        <f t="shared" si="120"/>
        <v>#DIV/0!</v>
      </c>
      <c r="FW87" s="80" t="e">
        <f t="shared" si="121"/>
        <v>#DIV/0!</v>
      </c>
      <c r="FX87" s="79">
        <f>SUM(FX78:FX86)</f>
        <v>44301</v>
      </c>
      <c r="FY87" s="127">
        <f>2694+2060</f>
        <v>4754</v>
      </c>
      <c r="FZ87" s="140">
        <f t="shared" si="122"/>
        <v>44301</v>
      </c>
      <c r="GA87" s="29">
        <f>FX87+FY87-FU87</f>
        <v>49055</v>
      </c>
    </row>
    <row r="88" spans="1:183" ht="13.5" thickBot="1">
      <c r="A88" s="1025"/>
      <c r="B88" s="430"/>
      <c r="C88" s="129"/>
      <c r="D88" s="130"/>
      <c r="E88" s="130"/>
      <c r="F88" s="130"/>
      <c r="G88" s="130"/>
      <c r="H88" s="430"/>
      <c r="I88" s="130"/>
      <c r="J88" s="1037"/>
      <c r="K88" s="131"/>
      <c r="L88" s="132"/>
      <c r="M88" s="130"/>
      <c r="N88" s="130"/>
      <c r="O88" s="133"/>
      <c r="P88" s="134"/>
      <c r="Q88" s="430"/>
      <c r="R88" s="876"/>
      <c r="S88" s="430"/>
      <c r="T88" s="430"/>
      <c r="U88" s="430"/>
      <c r="V88" s="430"/>
      <c r="W88" s="430"/>
      <c r="X88" s="876"/>
      <c r="Y88" s="430"/>
      <c r="Z88" s="430"/>
      <c r="AA88" s="430"/>
      <c r="AB88" s="430"/>
      <c r="AC88" s="430"/>
      <c r="AD88" s="876"/>
      <c r="AE88" s="430"/>
      <c r="AF88" s="430"/>
      <c r="AG88" s="430"/>
      <c r="AH88" s="430"/>
      <c r="AI88" s="430"/>
      <c r="AJ88" s="876"/>
      <c r="AK88" s="430"/>
      <c r="AL88" s="430"/>
      <c r="AM88" s="430"/>
      <c r="AN88" s="430"/>
      <c r="AO88" s="430"/>
      <c r="AP88" s="876"/>
      <c r="AQ88" s="430"/>
      <c r="AR88" s="430"/>
      <c r="AS88" s="430"/>
      <c r="AT88" s="430"/>
      <c r="AU88" s="430"/>
      <c r="AV88" s="876"/>
      <c r="AW88" s="912"/>
      <c r="AX88" s="912"/>
      <c r="AY88" s="912"/>
      <c r="AZ88" s="944"/>
      <c r="BA88" s="944"/>
      <c r="BB88" s="62"/>
      <c r="BC88" s="106"/>
      <c r="BD88" s="912"/>
      <c r="BE88" s="106"/>
      <c r="BF88" s="1033"/>
      <c r="BG88" s="1033"/>
      <c r="BH88" s="912"/>
      <c r="BI88" s="912"/>
      <c r="BJ88" s="1032"/>
      <c r="BK88" s="1032"/>
      <c r="BL88" s="430"/>
      <c r="BM88" s="430"/>
      <c r="BN88" s="876"/>
      <c r="BO88" s="430"/>
      <c r="BP88" s="430"/>
      <c r="BQ88" s="430"/>
      <c r="BR88" s="430"/>
      <c r="BS88" s="430"/>
      <c r="BT88" s="876"/>
      <c r="BU88" s="430"/>
      <c r="BV88" s="430"/>
      <c r="BW88" s="430"/>
      <c r="BX88" s="430"/>
      <c r="BY88" s="430"/>
      <c r="BZ88" s="984"/>
      <c r="CA88" s="430"/>
      <c r="CB88" s="430"/>
      <c r="CC88" s="430"/>
      <c r="CD88" s="430"/>
      <c r="CE88" s="430"/>
      <c r="CF88" s="876"/>
      <c r="CG88" s="876"/>
      <c r="CH88" s="876"/>
      <c r="CI88" s="430"/>
      <c r="CJ88" s="430"/>
      <c r="CK88" s="430"/>
      <c r="CL88" s="430"/>
      <c r="CM88" s="430"/>
      <c r="CN88" s="876"/>
      <c r="CO88" s="430"/>
      <c r="CP88" s="430"/>
      <c r="CQ88" s="430"/>
      <c r="CR88" s="430"/>
      <c r="CS88" s="876"/>
      <c r="CT88" s="430"/>
      <c r="CU88" s="430"/>
      <c r="CV88" s="430"/>
      <c r="CW88" s="430"/>
      <c r="CX88" s="430"/>
      <c r="CY88" s="876"/>
      <c r="CZ88" s="430"/>
      <c r="DA88" s="430"/>
      <c r="DB88" s="430"/>
      <c r="DC88" s="430"/>
      <c r="DD88" s="430"/>
      <c r="DE88" s="430"/>
      <c r="DF88" s="430"/>
      <c r="DG88" s="430"/>
      <c r="DH88" s="430"/>
      <c r="DI88" s="430"/>
      <c r="DJ88" s="430"/>
      <c r="DK88" s="430"/>
      <c r="DL88" s="430"/>
      <c r="DM88" s="430"/>
      <c r="DN88" s="430"/>
      <c r="DO88" s="430"/>
      <c r="DP88" s="430"/>
      <c r="DQ88" s="430"/>
      <c r="DR88" s="430"/>
      <c r="DS88" s="430"/>
      <c r="DT88" s="430"/>
      <c r="DU88" s="430"/>
      <c r="DV88" s="430"/>
      <c r="DW88" s="430"/>
      <c r="DX88" s="430"/>
      <c r="DY88" s="430"/>
      <c r="DZ88" s="430"/>
      <c r="EA88" s="430"/>
      <c r="EB88" s="430"/>
      <c r="EC88" s="430"/>
      <c r="ED88" s="430"/>
      <c r="EE88" s="430"/>
      <c r="EF88" s="430"/>
      <c r="EG88" s="430"/>
      <c r="EH88" s="430"/>
      <c r="EI88" s="984"/>
      <c r="EJ88" s="430"/>
      <c r="EK88" s="430"/>
      <c r="EL88" s="430"/>
      <c r="EM88" s="430"/>
      <c r="EN88" s="430"/>
      <c r="EO88" s="430"/>
      <c r="EP88" s="430"/>
      <c r="EQ88" s="430"/>
      <c r="ER88" s="430"/>
      <c r="ES88" s="430"/>
      <c r="ET88" s="430"/>
      <c r="EU88" s="430"/>
      <c r="EV88" s="430"/>
      <c r="EW88" s="430"/>
      <c r="EX88" s="430"/>
      <c r="EY88" s="430"/>
      <c r="EZ88" s="430"/>
      <c r="FA88" s="430"/>
      <c r="FB88" s="430"/>
      <c r="FC88" s="430"/>
      <c r="FD88" s="430"/>
      <c r="FE88" s="430"/>
      <c r="FF88" s="430"/>
      <c r="FG88" s="430"/>
      <c r="FH88" s="430"/>
      <c r="FI88" s="430"/>
      <c r="FJ88" s="430"/>
      <c r="FK88" s="430"/>
      <c r="FL88" s="430"/>
      <c r="FM88" s="430"/>
      <c r="FN88" s="430"/>
      <c r="FO88" s="129"/>
      <c r="FP88" s="130"/>
      <c r="FQ88" s="130"/>
      <c r="FR88" s="130"/>
      <c r="FS88" s="130"/>
      <c r="FT88" s="430"/>
      <c r="FU88" s="130"/>
      <c r="FV88" s="131"/>
      <c r="FW88" s="132"/>
      <c r="FX88" s="130"/>
      <c r="FY88" s="130"/>
      <c r="FZ88" s="133"/>
      <c r="GA88" s="134"/>
    </row>
    <row r="89" spans="1:183">
      <c r="A89" s="1027"/>
      <c r="B89" s="430"/>
      <c r="C89" s="135" t="s">
        <v>73</v>
      </c>
      <c r="D89" s="971"/>
      <c r="E89" s="969"/>
      <c r="F89" s="969"/>
      <c r="G89" s="972"/>
      <c r="H89" s="430"/>
      <c r="I89" s="977"/>
      <c r="J89" s="1038"/>
      <c r="K89" s="971"/>
      <c r="L89" s="971"/>
      <c r="M89" s="971"/>
      <c r="N89" s="979"/>
      <c r="O89" s="978"/>
      <c r="P89" s="980"/>
      <c r="Q89" s="430"/>
      <c r="R89" s="876"/>
      <c r="S89" s="430"/>
      <c r="T89" s="430"/>
      <c r="U89" s="430"/>
      <c r="V89" s="430"/>
      <c r="W89" s="430"/>
      <c r="X89" s="876"/>
      <c r="Y89" s="430"/>
      <c r="Z89" s="430"/>
      <c r="AA89" s="430"/>
      <c r="AB89" s="430"/>
      <c r="AC89" s="430"/>
      <c r="AD89" s="876"/>
      <c r="AE89" s="430"/>
      <c r="AF89" s="430"/>
      <c r="AG89" s="430"/>
      <c r="AH89" s="430"/>
      <c r="AI89" s="430"/>
      <c r="AJ89" s="876"/>
      <c r="AK89" s="430"/>
      <c r="AL89" s="430"/>
      <c r="AM89" s="430"/>
      <c r="AN89" s="430"/>
      <c r="AO89" s="430"/>
      <c r="AP89" s="876"/>
      <c r="AQ89" s="430"/>
      <c r="AR89" s="430"/>
      <c r="AS89" s="430"/>
      <c r="AT89" s="430"/>
      <c r="AU89" s="430"/>
      <c r="AV89" s="876"/>
      <c r="AW89" s="912"/>
      <c r="AX89" s="912"/>
      <c r="AY89" s="912"/>
      <c r="AZ89" s="944"/>
      <c r="BA89" s="944"/>
      <c r="BB89" s="63"/>
      <c r="BC89" s="106"/>
      <c r="BD89" s="912"/>
      <c r="BE89" s="106"/>
      <c r="BF89" s="1034"/>
      <c r="BG89" s="1034"/>
      <c r="BH89" s="912"/>
      <c r="BI89" s="912"/>
      <c r="BJ89" s="1032"/>
      <c r="BK89" s="1032"/>
      <c r="BL89" s="430"/>
      <c r="BM89" s="430"/>
      <c r="BN89" s="876"/>
      <c r="BO89" s="430"/>
      <c r="BP89" s="430"/>
      <c r="BQ89" s="430"/>
      <c r="BR89" s="430"/>
      <c r="BS89" s="430"/>
      <c r="BT89" s="876"/>
      <c r="BU89" s="430"/>
      <c r="BV89" s="430"/>
      <c r="BW89" s="430"/>
      <c r="BX89" s="430"/>
      <c r="BY89" s="430"/>
      <c r="BZ89" s="984"/>
      <c r="CA89" s="430"/>
      <c r="CB89" s="430"/>
      <c r="CC89" s="430"/>
      <c r="CD89" s="430"/>
      <c r="CE89" s="430"/>
      <c r="CF89" s="876"/>
      <c r="CG89" s="876"/>
      <c r="CH89" s="876"/>
      <c r="CI89" s="430"/>
      <c r="CJ89" s="430"/>
      <c r="CK89" s="430"/>
      <c r="CL89" s="430"/>
      <c r="CM89" s="430"/>
      <c r="CN89" s="876"/>
      <c r="CO89" s="430"/>
      <c r="CP89" s="430"/>
      <c r="CQ89" s="430"/>
      <c r="CR89" s="430"/>
      <c r="CS89" s="876"/>
      <c r="CT89" s="430"/>
      <c r="CU89" s="430"/>
      <c r="CV89" s="430"/>
      <c r="CW89" s="430"/>
      <c r="CX89" s="430"/>
      <c r="CY89" s="876"/>
      <c r="CZ89" s="430"/>
      <c r="DA89" s="430"/>
      <c r="DB89" s="430"/>
      <c r="DC89" s="430"/>
      <c r="DD89" s="430"/>
      <c r="DE89" s="430"/>
      <c r="DF89" s="430"/>
      <c r="DG89" s="430"/>
      <c r="DH89" s="430"/>
      <c r="DI89" s="430"/>
      <c r="DJ89" s="430"/>
      <c r="DK89" s="430"/>
      <c r="DL89" s="430"/>
      <c r="DM89" s="430"/>
      <c r="DN89" s="430"/>
      <c r="DO89" s="430"/>
      <c r="DP89" s="430"/>
      <c r="DQ89" s="430"/>
      <c r="DR89" s="430"/>
      <c r="DS89" s="430"/>
      <c r="DT89" s="430"/>
      <c r="DU89" s="430"/>
      <c r="DV89" s="430"/>
      <c r="DW89" s="430"/>
      <c r="DX89" s="430"/>
      <c r="DY89" s="430"/>
      <c r="DZ89" s="430"/>
      <c r="EA89" s="430"/>
      <c r="EB89" s="430"/>
      <c r="EC89" s="430"/>
      <c r="ED89" s="430"/>
      <c r="EE89" s="430"/>
      <c r="EF89" s="430"/>
      <c r="EG89" s="430"/>
      <c r="EH89" s="430"/>
      <c r="EI89" s="984"/>
      <c r="EJ89" s="430"/>
      <c r="EK89" s="430"/>
      <c r="EL89" s="430"/>
      <c r="EM89" s="430"/>
      <c r="EN89" s="430"/>
      <c r="EO89" s="430"/>
      <c r="EP89" s="430"/>
      <c r="EQ89" s="430"/>
      <c r="ER89" s="430"/>
      <c r="ES89" s="430"/>
      <c r="ET89" s="430"/>
      <c r="EU89" s="430"/>
      <c r="EV89" s="430"/>
      <c r="EW89" s="430"/>
      <c r="EX89" s="430"/>
      <c r="EY89" s="430"/>
      <c r="EZ89" s="430"/>
      <c r="FA89" s="430"/>
      <c r="FB89" s="430"/>
      <c r="FC89" s="430"/>
      <c r="FD89" s="430"/>
      <c r="FE89" s="430"/>
      <c r="FF89" s="430"/>
      <c r="FG89" s="430"/>
      <c r="FH89" s="430"/>
      <c r="FI89" s="430"/>
      <c r="FJ89" s="430"/>
      <c r="FK89" s="430"/>
      <c r="FL89" s="430"/>
      <c r="FM89" s="430"/>
      <c r="FN89" s="430"/>
      <c r="FO89" s="135" t="s">
        <v>73</v>
      </c>
      <c r="FP89" s="971"/>
      <c r="FQ89" s="969"/>
      <c r="FR89" s="969"/>
      <c r="FS89" s="972"/>
      <c r="FT89" s="430"/>
      <c r="FU89" s="977"/>
      <c r="FV89" s="971"/>
      <c r="FW89" s="971"/>
      <c r="FX89" s="971"/>
      <c r="FY89" s="979"/>
      <c r="FZ89" s="971"/>
      <c r="GA89" s="980"/>
    </row>
    <row r="90" spans="1:183">
      <c r="A90" s="906"/>
      <c r="B90" s="430"/>
      <c r="C90" s="1039" t="s">
        <v>77</v>
      </c>
      <c r="D90" s="940">
        <v>5071</v>
      </c>
      <c r="E90" s="946"/>
      <c r="F90" s="946"/>
      <c r="G90" s="1040">
        <v>14.65</v>
      </c>
      <c r="H90" s="430"/>
      <c r="I90" s="93">
        <f>D90-G90</f>
        <v>5056.3500000000004</v>
      </c>
      <c r="J90" s="1041"/>
      <c r="K90" s="930">
        <f>G90/(D90+E90+F90)</f>
        <v>2.8889765332281601E-3</v>
      </c>
      <c r="L90" s="930">
        <f>1-(G90/(D90+E90+F90))</f>
        <v>0.99711102346677183</v>
      </c>
      <c r="M90" s="876">
        <v>21897</v>
      </c>
      <c r="N90" s="988"/>
      <c r="O90" s="935">
        <f>M90-I90</f>
        <v>16840.650000000001</v>
      </c>
      <c r="P90" s="985"/>
      <c r="Q90" s="430"/>
      <c r="R90" s="876"/>
      <c r="S90" s="430"/>
      <c r="T90" s="430"/>
      <c r="U90" s="430"/>
      <c r="V90" s="430"/>
      <c r="W90" s="430"/>
      <c r="X90" s="876"/>
      <c r="Y90" s="430"/>
      <c r="Z90" s="430"/>
      <c r="AA90" s="430"/>
      <c r="AB90" s="430"/>
      <c r="AC90" s="430"/>
      <c r="AD90" s="876"/>
      <c r="AE90" s="430"/>
      <c r="AF90" s="430"/>
      <c r="AG90" s="430"/>
      <c r="AH90" s="430"/>
      <c r="AI90" s="430"/>
      <c r="AJ90" s="876"/>
      <c r="AK90" s="430"/>
      <c r="AL90" s="430"/>
      <c r="AM90" s="430"/>
      <c r="AN90" s="430"/>
      <c r="AO90" s="430"/>
      <c r="AP90" s="876"/>
      <c r="AQ90" s="430"/>
      <c r="AR90" s="430"/>
      <c r="AS90" s="430"/>
      <c r="AT90" s="430"/>
      <c r="AU90" s="430"/>
      <c r="AV90" s="876"/>
      <c r="AW90" s="912"/>
      <c r="AX90" s="912"/>
      <c r="AY90" s="912"/>
      <c r="AZ90" s="944"/>
      <c r="BA90" s="944"/>
      <c r="BB90" s="61"/>
      <c r="BC90" s="106"/>
      <c r="BD90" s="912"/>
      <c r="BE90" s="106"/>
      <c r="BF90" s="1033"/>
      <c r="BG90" s="1033"/>
      <c r="BH90" s="912"/>
      <c r="BI90" s="912"/>
      <c r="BJ90" s="1032"/>
      <c r="BK90" s="1032"/>
      <c r="BL90" s="430"/>
      <c r="BM90" s="430"/>
      <c r="BN90" s="876"/>
      <c r="BO90" s="430"/>
      <c r="BP90" s="430"/>
      <c r="BQ90" s="430"/>
      <c r="BR90" s="430"/>
      <c r="BS90" s="430"/>
      <c r="BT90" s="876"/>
      <c r="BU90" s="430"/>
      <c r="BV90" s="430"/>
      <c r="BW90" s="430"/>
      <c r="BX90" s="430"/>
      <c r="BY90" s="430"/>
      <c r="BZ90" s="984"/>
      <c r="CA90" s="430"/>
      <c r="CB90" s="430"/>
      <c r="CC90" s="430"/>
      <c r="CD90" s="430"/>
      <c r="CE90" s="430"/>
      <c r="CF90" s="876"/>
      <c r="CG90" s="876"/>
      <c r="CH90" s="876"/>
      <c r="CI90" s="430"/>
      <c r="CJ90" s="430"/>
      <c r="CK90" s="430"/>
      <c r="CL90" s="430"/>
      <c r="CM90" s="430"/>
      <c r="CN90" s="876"/>
      <c r="CO90" s="430"/>
      <c r="CP90" s="430"/>
      <c r="CQ90" s="430"/>
      <c r="CR90" s="430"/>
      <c r="CS90" s="876"/>
      <c r="CT90" s="430"/>
      <c r="CU90" s="430"/>
      <c r="CV90" s="430"/>
      <c r="CW90" s="430"/>
      <c r="CX90" s="430"/>
      <c r="CY90" s="876"/>
      <c r="CZ90" s="430"/>
      <c r="DA90" s="430"/>
      <c r="DB90" s="430"/>
      <c r="DC90" s="430"/>
      <c r="DD90" s="430"/>
      <c r="DE90" s="430"/>
      <c r="DF90" s="430"/>
      <c r="DG90" s="430"/>
      <c r="DH90" s="430"/>
      <c r="DI90" s="430"/>
      <c r="DJ90" s="430"/>
      <c r="DK90" s="430"/>
      <c r="DL90" s="430"/>
      <c r="DM90" s="430"/>
      <c r="DN90" s="430"/>
      <c r="DO90" s="430"/>
      <c r="DP90" s="430"/>
      <c r="DQ90" s="430"/>
      <c r="DR90" s="430"/>
      <c r="DS90" s="430"/>
      <c r="DT90" s="430"/>
      <c r="DU90" s="430"/>
      <c r="DV90" s="430"/>
      <c r="DW90" s="430"/>
      <c r="DX90" s="430"/>
      <c r="DY90" s="430"/>
      <c r="DZ90" s="430"/>
      <c r="EA90" s="430"/>
      <c r="EB90" s="430"/>
      <c r="EC90" s="430"/>
      <c r="ED90" s="430"/>
      <c r="EE90" s="430"/>
      <c r="EF90" s="430"/>
      <c r="EG90" s="430"/>
      <c r="EH90" s="430"/>
      <c r="EI90" s="984"/>
      <c r="EJ90" s="430"/>
      <c r="EK90" s="430"/>
      <c r="EL90" s="430"/>
      <c r="EM90" s="430"/>
      <c r="EN90" s="430"/>
      <c r="EO90" s="430"/>
      <c r="EP90" s="430"/>
      <c r="EQ90" s="430"/>
      <c r="ER90" s="430"/>
      <c r="ES90" s="430"/>
      <c r="ET90" s="430"/>
      <c r="EU90" s="430"/>
      <c r="EV90" s="430"/>
      <c r="EW90" s="430"/>
      <c r="EX90" s="430"/>
      <c r="EY90" s="430"/>
      <c r="EZ90" s="430"/>
      <c r="FA90" s="430"/>
      <c r="FB90" s="430"/>
      <c r="FC90" s="430"/>
      <c r="FD90" s="430"/>
      <c r="FE90" s="430"/>
      <c r="FF90" s="430"/>
      <c r="FG90" s="430"/>
      <c r="FH90" s="430"/>
      <c r="FI90" s="430"/>
      <c r="FJ90" s="430"/>
      <c r="FK90" s="430"/>
      <c r="FL90" s="430"/>
      <c r="FM90" s="430"/>
      <c r="FN90" s="430"/>
      <c r="FO90" s="1039" t="s">
        <v>77</v>
      </c>
      <c r="FP90" s="940"/>
      <c r="FQ90" s="946"/>
      <c r="FR90" s="946"/>
      <c r="FS90" s="1040"/>
      <c r="FT90" s="430"/>
      <c r="FU90" s="93">
        <f>FP90-FS90</f>
        <v>0</v>
      </c>
      <c r="FV90" s="930" t="e">
        <f>FS90/(FP90+FQ90+FR90)</f>
        <v>#DIV/0!</v>
      </c>
      <c r="FW90" s="930" t="e">
        <f>1-(FS90/(FP90+FQ90+FR90))</f>
        <v>#DIV/0!</v>
      </c>
      <c r="FX90" s="940">
        <v>21703.91</v>
      </c>
      <c r="FY90" s="988"/>
      <c r="FZ90" s="989">
        <f>FX90-FU90</f>
        <v>21703.91</v>
      </c>
      <c r="GA90" s="985"/>
    </row>
    <row r="91" spans="1:183">
      <c r="A91" s="906"/>
      <c r="B91" s="430"/>
      <c r="C91" s="1039"/>
      <c r="D91" s="876"/>
      <c r="E91" s="912"/>
      <c r="F91" s="912"/>
      <c r="G91" s="990"/>
      <c r="H91" s="430"/>
      <c r="I91" s="991"/>
      <c r="J91" s="932"/>
      <c r="K91" s="930"/>
      <c r="L91" s="930"/>
      <c r="M91" s="876"/>
      <c r="N91" s="984"/>
      <c r="O91" s="932"/>
      <c r="P91" s="985"/>
      <c r="Q91" s="430"/>
      <c r="R91" s="876"/>
      <c r="S91" s="430"/>
      <c r="T91" s="430"/>
      <c r="U91" s="430"/>
      <c r="V91" s="430"/>
      <c r="W91" s="430"/>
      <c r="X91" s="876"/>
      <c r="Y91" s="430"/>
      <c r="Z91" s="430"/>
      <c r="AA91" s="430"/>
      <c r="AB91" s="430"/>
      <c r="AC91" s="430"/>
      <c r="AD91" s="876"/>
      <c r="AE91" s="430"/>
      <c r="AF91" s="430"/>
      <c r="AG91" s="430"/>
      <c r="AH91" s="430"/>
      <c r="AI91" s="430"/>
      <c r="AJ91" s="876"/>
      <c r="AK91" s="430"/>
      <c r="AL91" s="430"/>
      <c r="AM91" s="430"/>
      <c r="AN91" s="430"/>
      <c r="AO91" s="430"/>
      <c r="AP91" s="876"/>
      <c r="AQ91" s="430"/>
      <c r="AR91" s="430"/>
      <c r="AS91" s="430"/>
      <c r="AT91" s="430"/>
      <c r="AU91" s="430"/>
      <c r="AV91" s="876"/>
      <c r="AW91" s="912"/>
      <c r="AX91" s="912"/>
      <c r="AY91" s="912"/>
      <c r="AZ91" s="944"/>
      <c r="BA91" s="944"/>
      <c r="BB91" s="61"/>
      <c r="BC91" s="106"/>
      <c r="BD91" s="912"/>
      <c r="BE91" s="106"/>
      <c r="BF91" s="1033"/>
      <c r="BG91" s="1033"/>
      <c r="BH91" s="912"/>
      <c r="BI91" s="912"/>
      <c r="BJ91" s="1032"/>
      <c r="BK91" s="1032"/>
      <c r="BL91" s="430"/>
      <c r="BM91" s="430"/>
      <c r="BN91" s="876"/>
      <c r="BO91" s="430"/>
      <c r="BP91" s="430"/>
      <c r="BQ91" s="430"/>
      <c r="BR91" s="430"/>
      <c r="BS91" s="430"/>
      <c r="BT91" s="876"/>
      <c r="BU91" s="430"/>
      <c r="BV91" s="430"/>
      <c r="BW91" s="430"/>
      <c r="BX91" s="430"/>
      <c r="BY91" s="430"/>
      <c r="BZ91" s="984"/>
      <c r="CA91" s="430"/>
      <c r="CB91" s="430"/>
      <c r="CC91" s="430"/>
      <c r="CD91" s="430"/>
      <c r="CE91" s="430"/>
      <c r="CF91" s="876"/>
      <c r="CG91" s="876"/>
      <c r="CH91" s="876"/>
      <c r="CI91" s="430"/>
      <c r="CJ91" s="430"/>
      <c r="CK91" s="430"/>
      <c r="CL91" s="430"/>
      <c r="CM91" s="430"/>
      <c r="CN91" s="876"/>
      <c r="CO91" s="430"/>
      <c r="CP91" s="430"/>
      <c r="CQ91" s="430"/>
      <c r="CR91" s="430"/>
      <c r="CS91" s="876"/>
      <c r="CT91" s="430"/>
      <c r="CU91" s="430"/>
      <c r="CV91" s="430"/>
      <c r="CW91" s="430"/>
      <c r="CX91" s="430"/>
      <c r="CY91" s="876"/>
      <c r="CZ91" s="430"/>
      <c r="DA91" s="430"/>
      <c r="DB91" s="430"/>
      <c r="DC91" s="430"/>
      <c r="DD91" s="430"/>
      <c r="DE91" s="430"/>
      <c r="DF91" s="430"/>
      <c r="DG91" s="430"/>
      <c r="DH91" s="430"/>
      <c r="DI91" s="430"/>
      <c r="DJ91" s="430"/>
      <c r="DK91" s="430"/>
      <c r="DL91" s="430"/>
      <c r="DM91" s="430"/>
      <c r="DN91" s="430"/>
      <c r="DO91" s="430"/>
      <c r="DP91" s="430"/>
      <c r="DQ91" s="430"/>
      <c r="DR91" s="430"/>
      <c r="DS91" s="430"/>
      <c r="DT91" s="430"/>
      <c r="DU91" s="430"/>
      <c r="DV91" s="430"/>
      <c r="DW91" s="430"/>
      <c r="DX91" s="430"/>
      <c r="DY91" s="430"/>
      <c r="DZ91" s="430"/>
      <c r="EA91" s="430"/>
      <c r="EB91" s="430"/>
      <c r="EC91" s="430"/>
      <c r="ED91" s="430"/>
      <c r="EE91" s="430"/>
      <c r="EF91" s="430"/>
      <c r="EG91" s="430"/>
      <c r="EH91" s="430"/>
      <c r="EI91" s="984"/>
      <c r="EJ91" s="430"/>
      <c r="EK91" s="430"/>
      <c r="EL91" s="430"/>
      <c r="EM91" s="430"/>
      <c r="EN91" s="430"/>
      <c r="EO91" s="430"/>
      <c r="EP91" s="430"/>
      <c r="EQ91" s="430"/>
      <c r="ER91" s="430"/>
      <c r="ES91" s="430"/>
      <c r="ET91" s="430"/>
      <c r="EU91" s="430"/>
      <c r="EV91" s="430"/>
      <c r="EW91" s="430"/>
      <c r="EX91" s="430"/>
      <c r="EY91" s="430"/>
      <c r="EZ91" s="430"/>
      <c r="FA91" s="430"/>
      <c r="FB91" s="430"/>
      <c r="FC91" s="430"/>
      <c r="FD91" s="430"/>
      <c r="FE91" s="430"/>
      <c r="FF91" s="430"/>
      <c r="FG91" s="430"/>
      <c r="FH91" s="430"/>
      <c r="FI91" s="430"/>
      <c r="FJ91" s="430"/>
      <c r="FK91" s="430"/>
      <c r="FL91" s="430"/>
      <c r="FM91" s="430"/>
      <c r="FN91" s="430"/>
      <c r="FO91" s="1039"/>
      <c r="FP91" s="876"/>
      <c r="FQ91" s="912"/>
      <c r="FR91" s="912"/>
      <c r="FS91" s="990"/>
      <c r="FT91" s="430"/>
      <c r="FU91" s="991"/>
      <c r="FV91" s="930"/>
      <c r="FW91" s="930"/>
      <c r="FX91" s="876"/>
      <c r="FY91" s="984"/>
      <c r="FZ91" s="876"/>
      <c r="GA91" s="985"/>
    </row>
    <row r="92" spans="1:183">
      <c r="A92" s="906"/>
      <c r="B92" s="430"/>
      <c r="C92" s="1039" t="s">
        <v>78</v>
      </c>
      <c r="D92" s="940">
        <v>6498</v>
      </c>
      <c r="E92" s="946"/>
      <c r="F92" s="946"/>
      <c r="G92" s="1040">
        <v>68.47</v>
      </c>
      <c r="H92" s="430"/>
      <c r="I92" s="93">
        <f>D92-G92</f>
        <v>6429.53</v>
      </c>
      <c r="J92" s="1041"/>
      <c r="K92" s="930">
        <f>G92/(D92+E92+F92)</f>
        <v>1.0537088334872269E-2</v>
      </c>
      <c r="L92" s="930">
        <f>1-(G92/(D92+E92+F92))</f>
        <v>0.98946291166512768</v>
      </c>
      <c r="M92" s="876">
        <v>14166</v>
      </c>
      <c r="N92" s="988"/>
      <c r="O92" s="935">
        <f>M92-I92</f>
        <v>7736.47</v>
      </c>
      <c r="P92" s="985"/>
      <c r="Q92" s="430"/>
      <c r="R92" s="876"/>
      <c r="S92" s="430"/>
      <c r="T92" s="430"/>
      <c r="U92" s="430"/>
      <c r="V92" s="430"/>
      <c r="W92" s="430"/>
      <c r="X92" s="876"/>
      <c r="Y92" s="430"/>
      <c r="Z92" s="430"/>
      <c r="AA92" s="430"/>
      <c r="AB92" s="430"/>
      <c r="AC92" s="430"/>
      <c r="AD92" s="876"/>
      <c r="AE92" s="430"/>
      <c r="AF92" s="430"/>
      <c r="AG92" s="430"/>
      <c r="AH92" s="430"/>
      <c r="AI92" s="430"/>
      <c r="AJ92" s="876"/>
      <c r="AK92" s="430"/>
      <c r="AL92" s="430"/>
      <c r="AM92" s="430"/>
      <c r="AN92" s="430"/>
      <c r="AO92" s="430"/>
      <c r="AP92" s="876"/>
      <c r="AQ92" s="430"/>
      <c r="AR92" s="430"/>
      <c r="AS92" s="430"/>
      <c r="AT92" s="430"/>
      <c r="AU92" s="430"/>
      <c r="AV92" s="876"/>
      <c r="AW92" s="912"/>
      <c r="AX92" s="912"/>
      <c r="AY92" s="912"/>
      <c r="AZ92" s="1042"/>
      <c r="BA92" s="64"/>
      <c r="BB92" s="64"/>
      <c r="BC92" s="64"/>
      <c r="BD92" s="1"/>
      <c r="BE92" s="64"/>
      <c r="BF92" s="1"/>
      <c r="BG92" s="1"/>
      <c r="BH92" s="64"/>
      <c r="BI92" s="1"/>
      <c r="BJ92" s="1032"/>
      <c r="BK92" s="1032"/>
      <c r="BL92" s="430"/>
      <c r="BM92" s="430"/>
      <c r="BN92" s="876"/>
      <c r="BO92" s="430"/>
      <c r="BP92" s="430"/>
      <c r="BQ92" s="430"/>
      <c r="BR92" s="430"/>
      <c r="BS92" s="430"/>
      <c r="BT92" s="876"/>
      <c r="BU92" s="430"/>
      <c r="BV92" s="430"/>
      <c r="BW92" s="430"/>
      <c r="BX92" s="430"/>
      <c r="BY92" s="430"/>
      <c r="BZ92" s="984"/>
      <c r="CA92" s="430"/>
      <c r="CB92" s="430"/>
      <c r="CC92" s="430"/>
      <c r="CD92" s="430"/>
      <c r="CE92" s="430"/>
      <c r="CF92" s="876"/>
      <c r="CG92" s="876"/>
      <c r="CH92" s="876"/>
      <c r="CI92" s="430"/>
      <c r="CJ92" s="430"/>
      <c r="CK92" s="430"/>
      <c r="CL92" s="430"/>
      <c r="CM92" s="430"/>
      <c r="CN92" s="876"/>
      <c r="CO92" s="430"/>
      <c r="CP92" s="430"/>
      <c r="CQ92" s="430"/>
      <c r="CR92" s="430"/>
      <c r="CS92" s="876"/>
      <c r="CT92" s="430"/>
      <c r="CU92" s="430"/>
      <c r="CV92" s="430"/>
      <c r="CW92" s="430"/>
      <c r="CX92" s="430"/>
      <c r="CY92" s="876"/>
      <c r="CZ92" s="430"/>
      <c r="DA92" s="430"/>
      <c r="DB92" s="430"/>
      <c r="DC92" s="430"/>
      <c r="DD92" s="430"/>
      <c r="DE92" s="430"/>
      <c r="DF92" s="430"/>
      <c r="DG92" s="430"/>
      <c r="DH92" s="430"/>
      <c r="DI92" s="430"/>
      <c r="DJ92" s="430"/>
      <c r="DK92" s="430"/>
      <c r="DL92" s="430"/>
      <c r="DM92" s="430"/>
      <c r="DN92" s="430"/>
      <c r="DO92" s="430"/>
      <c r="DP92" s="430"/>
      <c r="DQ92" s="430"/>
      <c r="DR92" s="430"/>
      <c r="DS92" s="430"/>
      <c r="DT92" s="430"/>
      <c r="DU92" s="430"/>
      <c r="DV92" s="430"/>
      <c r="DW92" s="430"/>
      <c r="DX92" s="430"/>
      <c r="DY92" s="430"/>
      <c r="DZ92" s="430"/>
      <c r="EA92" s="430"/>
      <c r="EB92" s="430"/>
      <c r="EC92" s="430"/>
      <c r="ED92" s="430"/>
      <c r="EE92" s="430"/>
      <c r="EF92" s="430"/>
      <c r="EG92" s="430"/>
      <c r="EH92" s="430"/>
      <c r="EI92" s="984"/>
      <c r="EJ92" s="430"/>
      <c r="EK92" s="430"/>
      <c r="EL92" s="430"/>
      <c r="EM92" s="430"/>
      <c r="EN92" s="430"/>
      <c r="EO92" s="430"/>
      <c r="EP92" s="430"/>
      <c r="EQ92" s="430"/>
      <c r="ER92" s="430"/>
      <c r="ES92" s="430"/>
      <c r="ET92" s="430"/>
      <c r="EU92" s="430"/>
      <c r="EV92" s="430"/>
      <c r="EW92" s="430"/>
      <c r="EX92" s="430"/>
      <c r="EY92" s="430"/>
      <c r="EZ92" s="430"/>
      <c r="FA92" s="430"/>
      <c r="FB92" s="430"/>
      <c r="FC92" s="430"/>
      <c r="FD92" s="430"/>
      <c r="FE92" s="430"/>
      <c r="FF92" s="430"/>
      <c r="FG92" s="430"/>
      <c r="FH92" s="430"/>
      <c r="FI92" s="430"/>
      <c r="FJ92" s="430"/>
      <c r="FK92" s="430"/>
      <c r="FL92" s="430"/>
      <c r="FM92" s="430"/>
      <c r="FN92" s="430"/>
      <c r="FO92" s="1039" t="s">
        <v>78</v>
      </c>
      <c r="FP92" s="940"/>
      <c r="FQ92" s="946"/>
      <c r="FR92" s="946"/>
      <c r="FS92" s="1040"/>
      <c r="FT92" s="430"/>
      <c r="FU92" s="93">
        <f>FP92-FS92</f>
        <v>0</v>
      </c>
      <c r="FV92" s="930" t="e">
        <f>FS92/(FP92+FQ92+FR92)</f>
        <v>#DIV/0!</v>
      </c>
      <c r="FW92" s="930" t="e">
        <f>1-(FS92/(FP92+FQ92+FR92))</f>
        <v>#DIV/0!</v>
      </c>
      <c r="FX92" s="940">
        <v>17295.14</v>
      </c>
      <c r="FY92" s="988"/>
      <c r="FZ92" s="989">
        <f>FX92-FU92</f>
        <v>17295.14</v>
      </c>
      <c r="GA92" s="985"/>
    </row>
    <row r="93" spans="1:183">
      <c r="A93" s="906"/>
      <c r="B93" s="430"/>
      <c r="C93" s="1039" t="s">
        <v>170</v>
      </c>
      <c r="D93" s="940">
        <v>4389</v>
      </c>
      <c r="E93" s="946"/>
      <c r="F93" s="946"/>
      <c r="G93" s="1040">
        <v>40.75</v>
      </c>
      <c r="H93" s="430"/>
      <c r="I93" s="93">
        <f>D93-G93</f>
        <v>4348.25</v>
      </c>
      <c r="J93" s="1041"/>
      <c r="K93" s="930">
        <f>G93/(D93+E93+F93)</f>
        <v>9.2845750740487582E-3</v>
      </c>
      <c r="L93" s="930">
        <f>1-(G93/(D93+E93+F93))</f>
        <v>0.99071542492595122</v>
      </c>
      <c r="M93" s="876">
        <v>4803</v>
      </c>
      <c r="N93" s="988"/>
      <c r="O93" s="935">
        <f>M93-I93</f>
        <v>454.75</v>
      </c>
      <c r="P93" s="985"/>
      <c r="Q93" s="430"/>
      <c r="R93" s="876"/>
      <c r="S93" s="430"/>
      <c r="T93" s="430"/>
      <c r="U93" s="430"/>
      <c r="V93" s="430"/>
      <c r="W93" s="430"/>
      <c r="X93" s="876"/>
      <c r="Y93" s="430"/>
      <c r="Z93" s="430"/>
      <c r="AA93" s="430"/>
      <c r="AB93" s="430"/>
      <c r="AC93" s="430"/>
      <c r="AD93" s="876"/>
      <c r="AE93" s="430"/>
      <c r="AF93" s="430"/>
      <c r="AG93" s="430"/>
      <c r="AH93" s="430"/>
      <c r="AI93" s="430"/>
      <c r="AJ93" s="876"/>
      <c r="AK93" s="430"/>
      <c r="AL93" s="430"/>
      <c r="AM93" s="430"/>
      <c r="AN93" s="430"/>
      <c r="AO93" s="430"/>
      <c r="AP93" s="876"/>
      <c r="AQ93" s="430"/>
      <c r="AR93" s="430"/>
      <c r="AS93" s="430"/>
      <c r="AT93" s="430"/>
      <c r="AU93" s="430"/>
      <c r="AV93" s="876"/>
      <c r="AW93" s="912"/>
      <c r="AX93" s="912"/>
      <c r="AY93" s="1"/>
      <c r="AZ93" s="101"/>
      <c r="BA93" s="96"/>
      <c r="BB93" s="107"/>
      <c r="BC93" s="96"/>
      <c r="BD93" s="1"/>
      <c r="BE93" s="96"/>
      <c r="BF93" s="1"/>
      <c r="BG93" s="119"/>
      <c r="BH93" s="101"/>
      <c r="BI93" s="104"/>
      <c r="BJ93" s="1032"/>
      <c r="BK93" s="1032"/>
      <c r="BL93" s="430"/>
      <c r="BM93" s="430"/>
      <c r="BN93" s="876"/>
      <c r="BO93" s="430"/>
      <c r="BP93" s="430"/>
      <c r="BQ93" s="430"/>
      <c r="BR93" s="430"/>
      <c r="BS93" s="430"/>
      <c r="BT93" s="876"/>
      <c r="BU93" s="430"/>
      <c r="BV93" s="430"/>
      <c r="BW93" s="430"/>
      <c r="BX93" s="430"/>
      <c r="BY93" s="430"/>
      <c r="BZ93" s="984"/>
      <c r="CA93" s="430"/>
      <c r="CB93" s="430"/>
      <c r="CC93" s="430"/>
      <c r="CD93" s="430"/>
      <c r="CE93" s="430"/>
      <c r="CF93" s="876"/>
      <c r="CG93" s="876"/>
      <c r="CH93" s="876"/>
      <c r="CI93" s="430"/>
      <c r="CJ93" s="430"/>
      <c r="CK93" s="430"/>
      <c r="CL93" s="430"/>
      <c r="CM93" s="430"/>
      <c r="CN93" s="876"/>
      <c r="CO93" s="430"/>
      <c r="CP93" s="430"/>
      <c r="CQ93" s="430"/>
      <c r="CR93" s="430"/>
      <c r="CS93" s="876"/>
      <c r="CT93" s="430"/>
      <c r="CU93" s="430"/>
      <c r="CV93" s="430"/>
      <c r="CW93" s="430"/>
      <c r="CX93" s="430"/>
      <c r="CY93" s="876"/>
      <c r="CZ93" s="430"/>
      <c r="DA93" s="430"/>
      <c r="DB93" s="430"/>
      <c r="DC93" s="430"/>
      <c r="DD93" s="430"/>
      <c r="DE93" s="430"/>
      <c r="DF93" s="430"/>
      <c r="DG93" s="430"/>
      <c r="DH93" s="430"/>
      <c r="DI93" s="430"/>
      <c r="DJ93" s="430"/>
      <c r="DK93" s="430"/>
      <c r="DL93" s="430"/>
      <c r="DM93" s="430"/>
      <c r="DN93" s="430"/>
      <c r="DO93" s="430"/>
      <c r="DP93" s="430"/>
      <c r="DQ93" s="430"/>
      <c r="DR93" s="430"/>
      <c r="DS93" s="430"/>
      <c r="DT93" s="430"/>
      <c r="DU93" s="430"/>
      <c r="DV93" s="430"/>
      <c r="DW93" s="430"/>
      <c r="DX93" s="430"/>
      <c r="DY93" s="430"/>
      <c r="DZ93" s="430"/>
      <c r="EA93" s="430"/>
      <c r="EB93" s="430"/>
      <c r="EC93" s="430"/>
      <c r="ED93" s="430"/>
      <c r="EE93" s="430"/>
      <c r="EF93" s="430"/>
      <c r="EG93" s="430"/>
      <c r="EH93" s="430"/>
      <c r="EI93" s="984"/>
      <c r="EJ93" s="430"/>
      <c r="EK93" s="430"/>
      <c r="EL93" s="430"/>
      <c r="EM93" s="430"/>
      <c r="EN93" s="430"/>
      <c r="EO93" s="430"/>
      <c r="EP93" s="430"/>
      <c r="EQ93" s="430"/>
      <c r="ER93" s="430"/>
      <c r="ES93" s="430"/>
      <c r="ET93" s="430"/>
      <c r="EU93" s="430"/>
      <c r="EV93" s="430"/>
      <c r="EW93" s="430"/>
      <c r="EX93" s="430"/>
      <c r="EY93" s="430"/>
      <c r="EZ93" s="430"/>
      <c r="FA93" s="430"/>
      <c r="FB93" s="430"/>
      <c r="FC93" s="430"/>
      <c r="FD93" s="430"/>
      <c r="FE93" s="430"/>
      <c r="FF93" s="430"/>
      <c r="FG93" s="430"/>
      <c r="FH93" s="430"/>
      <c r="FI93" s="430"/>
      <c r="FJ93" s="430"/>
      <c r="FK93" s="430"/>
      <c r="FL93" s="430"/>
      <c r="FM93" s="430"/>
      <c r="FN93" s="430"/>
      <c r="FO93" s="1039" t="s">
        <v>170</v>
      </c>
      <c r="FP93" s="940"/>
      <c r="FQ93" s="946"/>
      <c r="FR93" s="946"/>
      <c r="FS93" s="1040"/>
      <c r="FT93" s="430"/>
      <c r="FU93" s="93">
        <f>FP93-FS93</f>
        <v>0</v>
      </c>
      <c r="FV93" s="930" t="e">
        <f>FS93/(FP93+FQ93+FR93)</f>
        <v>#DIV/0!</v>
      </c>
      <c r="FW93" s="930" t="e">
        <f>1-(FS93/(FP93+FQ93+FR93))</f>
        <v>#DIV/0!</v>
      </c>
      <c r="FX93" s="940">
        <v>7082.56</v>
      </c>
      <c r="FY93" s="988"/>
      <c r="FZ93" s="989">
        <f>FX93-FU93</f>
        <v>7082.56</v>
      </c>
      <c r="GA93" s="985"/>
    </row>
    <row r="94" spans="1:183">
      <c r="A94" s="906"/>
      <c r="B94" s="430"/>
      <c r="C94" s="1039"/>
      <c r="D94" s="940"/>
      <c r="E94" s="912"/>
      <c r="F94" s="912"/>
      <c r="G94" s="1040"/>
      <c r="H94" s="430"/>
      <c r="I94" s="93"/>
      <c r="J94" s="932"/>
      <c r="K94" s="930"/>
      <c r="L94" s="930"/>
      <c r="M94" s="876"/>
      <c r="N94" s="992"/>
      <c r="O94" s="935"/>
      <c r="P94" s="985"/>
      <c r="Q94" s="430"/>
      <c r="R94" s="876"/>
      <c r="S94" s="430"/>
      <c r="T94" s="430"/>
      <c r="U94" s="430"/>
      <c r="V94" s="430"/>
      <c r="W94" s="430"/>
      <c r="X94" s="876"/>
      <c r="Y94" s="430"/>
      <c r="Z94" s="430"/>
      <c r="AA94" s="430"/>
      <c r="AB94" s="430"/>
      <c r="AC94" s="430"/>
      <c r="AD94" s="876"/>
      <c r="AE94" s="430"/>
      <c r="AF94" s="430"/>
      <c r="AG94" s="430"/>
      <c r="AH94" s="430"/>
      <c r="AI94" s="430"/>
      <c r="AJ94" s="876"/>
      <c r="AK94" s="430"/>
      <c r="AL94" s="430"/>
      <c r="AM94" s="430"/>
      <c r="AN94" s="430"/>
      <c r="AO94" s="430"/>
      <c r="AP94" s="876"/>
      <c r="AQ94" s="430"/>
      <c r="AR94" s="430"/>
      <c r="AS94" s="430"/>
      <c r="AT94" s="430"/>
      <c r="AU94" s="430"/>
      <c r="AV94" s="876"/>
      <c r="AW94" s="912"/>
      <c r="AX94" s="912"/>
      <c r="AY94" s="1"/>
      <c r="AZ94" s="101"/>
      <c r="BA94" s="96"/>
      <c r="BB94" s="110"/>
      <c r="BC94" s="96"/>
      <c r="BD94" s="1"/>
      <c r="BE94" s="96"/>
      <c r="BF94" s="1"/>
      <c r="BG94" s="119"/>
      <c r="BH94" s="96"/>
      <c r="BI94" s="1"/>
      <c r="BJ94" s="1032"/>
      <c r="BK94" s="1032"/>
      <c r="BL94" s="430"/>
      <c r="BM94" s="430"/>
      <c r="BN94" s="876"/>
      <c r="BO94" s="430"/>
      <c r="BP94" s="430"/>
      <c r="BQ94" s="430"/>
      <c r="BR94" s="430"/>
      <c r="BS94" s="430"/>
      <c r="BT94" s="876"/>
      <c r="BU94" s="430"/>
      <c r="BV94" s="430"/>
      <c r="BW94" s="430"/>
      <c r="BX94" s="430"/>
      <c r="BY94" s="430"/>
      <c r="BZ94" s="984"/>
      <c r="CA94" s="430"/>
      <c r="CB94" s="430"/>
      <c r="CC94" s="430"/>
      <c r="CD94" s="430"/>
      <c r="CE94" s="430"/>
      <c r="CF94" s="876"/>
      <c r="CG94" s="876"/>
      <c r="CH94" s="876"/>
      <c r="CI94" s="430"/>
      <c r="CJ94" s="430"/>
      <c r="CK94" s="430"/>
      <c r="CL94" s="430"/>
      <c r="CM94" s="430"/>
      <c r="CN94" s="876"/>
      <c r="CO94" s="430"/>
      <c r="CP94" s="430"/>
      <c r="CQ94" s="430"/>
      <c r="CR94" s="430"/>
      <c r="CS94" s="876"/>
      <c r="CT94" s="430"/>
      <c r="CU94" s="430"/>
      <c r="CV94" s="430"/>
      <c r="CW94" s="430"/>
      <c r="CX94" s="430"/>
      <c r="CY94" s="876"/>
      <c r="CZ94" s="430"/>
      <c r="DA94" s="430"/>
      <c r="DB94" s="430"/>
      <c r="DC94" s="430"/>
      <c r="DD94" s="430"/>
      <c r="DE94" s="430"/>
      <c r="DF94" s="430"/>
      <c r="DG94" s="430"/>
      <c r="DH94" s="430"/>
      <c r="DI94" s="430"/>
      <c r="DJ94" s="430"/>
      <c r="DK94" s="430"/>
      <c r="DL94" s="430"/>
      <c r="DM94" s="430"/>
      <c r="DN94" s="430"/>
      <c r="DO94" s="430"/>
      <c r="DP94" s="430"/>
      <c r="DQ94" s="430"/>
      <c r="DR94" s="430"/>
      <c r="DS94" s="430"/>
      <c r="DT94" s="430"/>
      <c r="DU94" s="430"/>
      <c r="DV94" s="430"/>
      <c r="DW94" s="430"/>
      <c r="DX94" s="430"/>
      <c r="DY94" s="430"/>
      <c r="DZ94" s="430"/>
      <c r="EA94" s="430"/>
      <c r="EB94" s="430"/>
      <c r="EC94" s="430"/>
      <c r="ED94" s="430"/>
      <c r="EE94" s="430"/>
      <c r="EF94" s="430"/>
      <c r="EG94" s="430"/>
      <c r="EH94" s="430"/>
      <c r="EI94" s="984"/>
      <c r="EJ94" s="430"/>
      <c r="EK94" s="430"/>
      <c r="EL94" s="430"/>
      <c r="EM94" s="430"/>
      <c r="EN94" s="430"/>
      <c r="EO94" s="430"/>
      <c r="EP94" s="430"/>
      <c r="EQ94" s="430"/>
      <c r="ER94" s="430"/>
      <c r="ES94" s="430"/>
      <c r="ET94" s="430"/>
      <c r="EU94" s="430"/>
      <c r="EV94" s="430"/>
      <c r="EW94" s="430"/>
      <c r="EX94" s="430"/>
      <c r="EY94" s="430"/>
      <c r="EZ94" s="430"/>
      <c r="FA94" s="430"/>
      <c r="FB94" s="430"/>
      <c r="FC94" s="430"/>
      <c r="FD94" s="430"/>
      <c r="FE94" s="430"/>
      <c r="FF94" s="430"/>
      <c r="FG94" s="430"/>
      <c r="FH94" s="430"/>
      <c r="FI94" s="430"/>
      <c r="FJ94" s="430"/>
      <c r="FK94" s="430"/>
      <c r="FL94" s="430"/>
      <c r="FM94" s="430"/>
      <c r="FN94" s="430"/>
      <c r="FO94" s="1039"/>
      <c r="FP94" s="940"/>
      <c r="FQ94" s="912"/>
      <c r="FR94" s="912"/>
      <c r="FS94" s="1040"/>
      <c r="FT94" s="430"/>
      <c r="FU94" s="93"/>
      <c r="FV94" s="930"/>
      <c r="FW94" s="930"/>
      <c r="FX94" s="876"/>
      <c r="FY94" s="992"/>
      <c r="FZ94" s="989"/>
      <c r="GA94" s="985"/>
    </row>
    <row r="95" spans="1:183">
      <c r="A95" s="906"/>
      <c r="B95" s="430"/>
      <c r="C95" s="1030" t="s">
        <v>74</v>
      </c>
      <c r="D95" s="876">
        <v>10887</v>
      </c>
      <c r="E95" s="993"/>
      <c r="F95" s="993"/>
      <c r="G95" s="876">
        <v>109.22</v>
      </c>
      <c r="H95" s="430"/>
      <c r="I95" s="93">
        <f>D95-G95</f>
        <v>10777.78</v>
      </c>
      <c r="J95" s="1041"/>
      <c r="K95" s="930">
        <f>G95/(D95+E95+F95)</f>
        <v>1.0032148433912005E-2</v>
      </c>
      <c r="L95" s="930">
        <f>1-(G95/(D95+E95+F95))</f>
        <v>0.98996785156608802</v>
      </c>
      <c r="M95" s="876">
        <v>18969</v>
      </c>
      <c r="N95" s="988"/>
      <c r="O95" s="935">
        <f>M95-I95</f>
        <v>8191.2199999999993</v>
      </c>
      <c r="P95" s="985"/>
      <c r="Q95" s="430"/>
      <c r="R95" s="876"/>
      <c r="S95" s="430"/>
      <c r="T95" s="430"/>
      <c r="U95" s="430"/>
      <c r="V95" s="430"/>
      <c r="W95" s="430"/>
      <c r="X95" s="876"/>
      <c r="Y95" s="430"/>
      <c r="Z95" s="430"/>
      <c r="AA95" s="430"/>
      <c r="AB95" s="430"/>
      <c r="AC95" s="430"/>
      <c r="AD95" s="876"/>
      <c r="AE95" s="430"/>
      <c r="AF95" s="430"/>
      <c r="AG95" s="430"/>
      <c r="AH95" s="430"/>
      <c r="AI95" s="430"/>
      <c r="AJ95" s="876"/>
      <c r="AK95" s="430"/>
      <c r="AL95" s="430"/>
      <c r="AM95" s="430"/>
      <c r="AN95" s="430"/>
      <c r="AO95" s="430"/>
      <c r="AP95" s="876"/>
      <c r="AQ95" s="430"/>
      <c r="AR95" s="430"/>
      <c r="AS95" s="430"/>
      <c r="AT95" s="430"/>
      <c r="AU95" s="430"/>
      <c r="AV95" s="876"/>
      <c r="AW95" s="912"/>
      <c r="AX95" s="912"/>
      <c r="AY95" s="1"/>
      <c r="AZ95" s="101"/>
      <c r="BA95" s="96"/>
      <c r="BB95" s="97"/>
      <c r="BC95" s="96"/>
      <c r="BD95" s="1"/>
      <c r="BE95" s="96"/>
      <c r="BF95" s="1"/>
      <c r="BG95" s="119"/>
      <c r="BH95" s="96"/>
      <c r="BI95" s="1"/>
      <c r="BJ95" s="1032"/>
      <c r="BK95" s="1032"/>
      <c r="BL95" s="430"/>
      <c r="BM95" s="430"/>
      <c r="BN95" s="876"/>
      <c r="BO95" s="430"/>
      <c r="BP95" s="430"/>
      <c r="BQ95" s="430"/>
      <c r="BR95" s="430"/>
      <c r="BS95" s="430"/>
      <c r="BT95" s="876"/>
      <c r="BU95" s="430"/>
      <c r="BV95" s="430"/>
      <c r="BW95" s="430"/>
      <c r="BX95" s="430"/>
      <c r="BY95" s="430"/>
      <c r="BZ95" s="984"/>
      <c r="CA95" s="430"/>
      <c r="CB95" s="430"/>
      <c r="CC95" s="430"/>
      <c r="CD95" s="430"/>
      <c r="CE95" s="430"/>
      <c r="CF95" s="876"/>
      <c r="CG95" s="876"/>
      <c r="CH95" s="876"/>
      <c r="CI95" s="430"/>
      <c r="CJ95" s="430"/>
      <c r="CK95" s="430"/>
      <c r="CL95" s="430"/>
      <c r="CM95" s="430"/>
      <c r="CN95" s="876"/>
      <c r="CO95" s="430"/>
      <c r="CP95" s="430"/>
      <c r="CQ95" s="430"/>
      <c r="CR95" s="430"/>
      <c r="CS95" s="876"/>
      <c r="CT95" s="430"/>
      <c r="CU95" s="430"/>
      <c r="CV95" s="430"/>
      <c r="CW95" s="430"/>
      <c r="CX95" s="430"/>
      <c r="CY95" s="876"/>
      <c r="CZ95" s="430"/>
      <c r="DA95" s="430"/>
      <c r="DB95" s="430"/>
      <c r="DC95" s="430"/>
      <c r="DD95" s="430"/>
      <c r="DE95" s="430"/>
      <c r="DF95" s="430"/>
      <c r="DG95" s="430"/>
      <c r="DH95" s="430"/>
      <c r="DI95" s="430"/>
      <c r="DJ95" s="430"/>
      <c r="DK95" s="430"/>
      <c r="DL95" s="430"/>
      <c r="DM95" s="430"/>
      <c r="DN95" s="430"/>
      <c r="DO95" s="430"/>
      <c r="DP95" s="430"/>
      <c r="DQ95" s="430"/>
      <c r="DR95" s="430"/>
      <c r="DS95" s="430"/>
      <c r="DT95" s="430"/>
      <c r="DU95" s="430"/>
      <c r="DV95" s="430"/>
      <c r="DW95" s="430"/>
      <c r="DX95" s="430"/>
      <c r="DY95" s="430"/>
      <c r="DZ95" s="430"/>
      <c r="EA95" s="430"/>
      <c r="EB95" s="430"/>
      <c r="EC95" s="430"/>
      <c r="ED95" s="430"/>
      <c r="EE95" s="430"/>
      <c r="EF95" s="430"/>
      <c r="EG95" s="430"/>
      <c r="EH95" s="430"/>
      <c r="EI95" s="984"/>
      <c r="EJ95" s="430"/>
      <c r="EK95" s="430"/>
      <c r="EL95" s="430"/>
      <c r="EM95" s="430"/>
      <c r="EN95" s="430"/>
      <c r="EO95" s="430"/>
      <c r="EP95" s="430"/>
      <c r="EQ95" s="430"/>
      <c r="ER95" s="430"/>
      <c r="ES95" s="430"/>
      <c r="ET95" s="430"/>
      <c r="EU95" s="430"/>
      <c r="EV95" s="430"/>
      <c r="EW95" s="430"/>
      <c r="EX95" s="430"/>
      <c r="EY95" s="430"/>
      <c r="EZ95" s="430"/>
      <c r="FA95" s="430"/>
      <c r="FB95" s="430"/>
      <c r="FC95" s="430"/>
      <c r="FD95" s="430"/>
      <c r="FE95" s="430"/>
      <c r="FF95" s="430"/>
      <c r="FG95" s="430"/>
      <c r="FH95" s="430"/>
      <c r="FI95" s="430"/>
      <c r="FJ95" s="430"/>
      <c r="FK95" s="430"/>
      <c r="FL95" s="430"/>
      <c r="FM95" s="430"/>
      <c r="FN95" s="430"/>
      <c r="FO95" s="141" t="s">
        <v>74</v>
      </c>
      <c r="FP95" s="142">
        <f>SUM(FP92:FP93)</f>
        <v>0</v>
      </c>
      <c r="FQ95" s="143"/>
      <c r="FR95" s="143"/>
      <c r="FS95" s="144">
        <f>SUM(FS92:FS93)</f>
        <v>0</v>
      </c>
      <c r="FT95" s="430"/>
      <c r="FU95" s="145">
        <f>SUM(FU92:FU93)</f>
        <v>0</v>
      </c>
      <c r="FV95" s="146" t="e">
        <f>FS95/(FP95+FQ95+FR95)</f>
        <v>#DIV/0!</v>
      </c>
      <c r="FW95" s="146" t="e">
        <f>1-(FS95/(FP95+FQ95+FR95))</f>
        <v>#DIV/0!</v>
      </c>
      <c r="FX95" s="147">
        <f>SUM(FX92:FX93)</f>
        <v>24377.7</v>
      </c>
      <c r="FY95" s="148"/>
      <c r="FZ95" s="149">
        <f>FX95-FU95</f>
        <v>24377.7</v>
      </c>
      <c r="GA95" s="150"/>
    </row>
    <row r="96" spans="1:183" ht="13.5" thickBot="1">
      <c r="A96" s="906"/>
      <c r="B96" s="430"/>
      <c r="C96" s="1030"/>
      <c r="D96" s="876"/>
      <c r="E96" s="912"/>
      <c r="F96" s="912"/>
      <c r="G96" s="876"/>
      <c r="H96" s="430"/>
      <c r="I96" s="93"/>
      <c r="J96" s="932"/>
      <c r="K96" s="876"/>
      <c r="L96" s="876"/>
      <c r="M96" s="876"/>
      <c r="N96" s="984"/>
      <c r="O96" s="48"/>
      <c r="P96" s="985"/>
      <c r="Q96" s="430"/>
      <c r="R96" s="876"/>
      <c r="S96" s="430"/>
      <c r="T96" s="430"/>
      <c r="U96" s="430"/>
      <c r="V96" s="430"/>
      <c r="W96" s="430"/>
      <c r="X96" s="876"/>
      <c r="Y96" s="430"/>
      <c r="Z96" s="430"/>
      <c r="AA96" s="430"/>
      <c r="AB96" s="430"/>
      <c r="AC96" s="430"/>
      <c r="AD96" s="876"/>
      <c r="AE96" s="430"/>
      <c r="AF96" s="430"/>
      <c r="AG96" s="430"/>
      <c r="AH96" s="430"/>
      <c r="AI96" s="430"/>
      <c r="AJ96" s="876"/>
      <c r="AK96" s="430"/>
      <c r="AL96" s="430"/>
      <c r="AM96" s="430"/>
      <c r="AN96" s="430"/>
      <c r="AO96" s="430"/>
      <c r="AP96" s="876"/>
      <c r="AQ96" s="430"/>
      <c r="AR96" s="430"/>
      <c r="AS96" s="430"/>
      <c r="AT96" s="430"/>
      <c r="AU96" s="430"/>
      <c r="AV96" s="876"/>
      <c r="AW96" s="912"/>
      <c r="AX96" s="912"/>
      <c r="AY96" s="1"/>
      <c r="AZ96" s="101"/>
      <c r="BA96" s="96"/>
      <c r="BB96" s="110"/>
      <c r="BC96" s="96"/>
      <c r="BD96" s="1"/>
      <c r="BE96" s="96"/>
      <c r="BF96" s="1"/>
      <c r="BG96" s="119"/>
      <c r="BH96" s="96"/>
      <c r="BI96" s="1"/>
      <c r="BJ96" s="1032"/>
      <c r="BK96" s="1032"/>
      <c r="BL96" s="430"/>
      <c r="BM96" s="430"/>
      <c r="BN96" s="876"/>
      <c r="BO96" s="430"/>
      <c r="BP96" s="430"/>
      <c r="BQ96" s="430"/>
      <c r="BR96" s="430"/>
      <c r="BS96" s="430"/>
      <c r="BT96" s="876"/>
      <c r="BU96" s="430"/>
      <c r="BV96" s="430"/>
      <c r="BW96" s="430"/>
      <c r="BX96" s="430"/>
      <c r="BY96" s="430"/>
      <c r="BZ96" s="984"/>
      <c r="CA96" s="430"/>
      <c r="CB96" s="430"/>
      <c r="CC96" s="430"/>
      <c r="CD96" s="430"/>
      <c r="CE96" s="430"/>
      <c r="CF96" s="876"/>
      <c r="CG96" s="876"/>
      <c r="CH96" s="876"/>
      <c r="CI96" s="430"/>
      <c r="CJ96" s="430"/>
      <c r="CK96" s="430"/>
      <c r="CL96" s="430"/>
      <c r="CM96" s="430"/>
      <c r="CN96" s="876"/>
      <c r="CO96" s="430"/>
      <c r="CP96" s="430"/>
      <c r="CQ96" s="430"/>
      <c r="CR96" s="430"/>
      <c r="CS96" s="876"/>
      <c r="CT96" s="430"/>
      <c r="CU96" s="430"/>
      <c r="CV96" s="430"/>
      <c r="CW96" s="430"/>
      <c r="CX96" s="430"/>
      <c r="CY96" s="876"/>
      <c r="CZ96" s="430"/>
      <c r="DA96" s="430"/>
      <c r="DB96" s="430"/>
      <c r="DC96" s="430"/>
      <c r="DD96" s="430"/>
      <c r="DE96" s="430"/>
      <c r="DF96" s="430"/>
      <c r="DG96" s="430"/>
      <c r="DH96" s="430"/>
      <c r="DI96" s="430"/>
      <c r="DJ96" s="430"/>
      <c r="DK96" s="430"/>
      <c r="DL96" s="430"/>
      <c r="DM96" s="430"/>
      <c r="DN96" s="430"/>
      <c r="DO96" s="430"/>
      <c r="DP96" s="430"/>
      <c r="DQ96" s="430"/>
      <c r="DR96" s="430"/>
      <c r="DS96" s="430"/>
      <c r="DT96" s="430"/>
      <c r="DU96" s="430"/>
      <c r="DV96" s="430"/>
      <c r="DW96" s="430"/>
      <c r="DX96" s="430"/>
      <c r="DY96" s="430"/>
      <c r="DZ96" s="430"/>
      <c r="EA96" s="430"/>
      <c r="EB96" s="430"/>
      <c r="EC96" s="430"/>
      <c r="ED96" s="430"/>
      <c r="EE96" s="430"/>
      <c r="EF96" s="430"/>
      <c r="EG96" s="430"/>
      <c r="EH96" s="430"/>
      <c r="EI96" s="1043"/>
      <c r="EJ96" s="430"/>
      <c r="EK96" s="430"/>
      <c r="EL96" s="430"/>
      <c r="EM96" s="430"/>
      <c r="EN96" s="430"/>
      <c r="EO96" s="430"/>
      <c r="EP96" s="430"/>
      <c r="EQ96" s="430"/>
      <c r="ER96" s="430"/>
      <c r="ES96" s="430"/>
      <c r="ET96" s="430"/>
      <c r="EU96" s="430"/>
      <c r="EV96" s="430"/>
      <c r="EW96" s="430"/>
      <c r="EX96" s="430"/>
      <c r="EY96" s="430"/>
      <c r="EZ96" s="430"/>
      <c r="FA96" s="430"/>
      <c r="FB96" s="430"/>
      <c r="FC96" s="430"/>
      <c r="FD96" s="430"/>
      <c r="FE96" s="430"/>
      <c r="FF96" s="430"/>
      <c r="FG96" s="430"/>
      <c r="FH96" s="430"/>
      <c r="FI96" s="430"/>
      <c r="FJ96" s="430"/>
      <c r="FK96" s="430"/>
      <c r="FL96" s="430"/>
      <c r="FM96" s="430"/>
      <c r="FN96" s="430"/>
      <c r="FO96" s="1030"/>
      <c r="FP96" s="876"/>
      <c r="FQ96" s="912"/>
      <c r="FR96" s="912"/>
      <c r="FS96" s="876"/>
      <c r="FT96" s="430"/>
      <c r="FU96" s="93"/>
      <c r="FV96" s="876"/>
      <c r="FW96" s="876"/>
      <c r="FX96" s="876"/>
      <c r="FY96" s="984"/>
      <c r="FZ96" s="81"/>
      <c r="GA96" s="985"/>
    </row>
    <row r="97" spans="1:184" ht="13.5" thickBot="1">
      <c r="A97" s="949"/>
      <c r="B97" s="430"/>
      <c r="C97" s="136" t="s">
        <v>57</v>
      </c>
      <c r="D97" s="15">
        <f>SUM(D90,D92:D93)</f>
        <v>15958</v>
      </c>
      <c r="E97" s="88"/>
      <c r="F97" s="88"/>
      <c r="G97" s="137">
        <f>SUM(G90,G92:G93)</f>
        <v>123.87</v>
      </c>
      <c r="H97" s="430"/>
      <c r="I97" s="137">
        <f>SUM(I90,I92:I93)</f>
        <v>15834.130000000001</v>
      </c>
      <c r="J97" s="1044"/>
      <c r="K97" s="32">
        <f>G97/(D97+E97+F97)</f>
        <v>7.762250908635168E-3</v>
      </c>
      <c r="L97" s="32">
        <f>1-(G97/(D97+E97+F97))</f>
        <v>0.99223774909136486</v>
      </c>
      <c r="M97" s="15">
        <f>SUM(M90,M92:M93)</f>
        <v>40866</v>
      </c>
      <c r="N97" s="89"/>
      <c r="O97" s="51">
        <f>M97-I97</f>
        <v>25031.87</v>
      </c>
      <c r="P97" s="84"/>
      <c r="Q97" s="430"/>
      <c r="R97" s="876"/>
      <c r="S97" s="430"/>
      <c r="T97" s="430"/>
      <c r="U97" s="430"/>
      <c r="V97" s="430"/>
      <c r="W97" s="430"/>
      <c r="X97" s="876"/>
      <c r="Y97" s="430"/>
      <c r="Z97" s="430"/>
      <c r="AA97" s="430"/>
      <c r="AB97" s="430"/>
      <c r="AC97" s="430"/>
      <c r="AD97" s="876"/>
      <c r="AE97" s="430"/>
      <c r="AF97" s="430"/>
      <c r="AG97" s="430"/>
      <c r="AH97" s="430"/>
      <c r="AI97" s="430"/>
      <c r="AJ97" s="876"/>
      <c r="AK97" s="430"/>
      <c r="AL97" s="430"/>
      <c r="AM97" s="430"/>
      <c r="AN97" s="430"/>
      <c r="AO97" s="430"/>
      <c r="AP97" s="876"/>
      <c r="AQ97" s="430"/>
      <c r="AR97" s="430"/>
      <c r="AS97" s="430"/>
      <c r="AT97" s="430"/>
      <c r="AU97" s="430"/>
      <c r="AV97" s="876"/>
      <c r="AW97" s="912"/>
      <c r="AX97" s="912"/>
      <c r="AY97" s="912"/>
      <c r="AZ97" s="912"/>
      <c r="BA97" s="912"/>
      <c r="BB97" s="912"/>
      <c r="BC97" s="912"/>
      <c r="BD97" s="912"/>
      <c r="BE97" s="912"/>
      <c r="BF97" s="912"/>
      <c r="BG97" s="912"/>
      <c r="BH97" s="912"/>
      <c r="BI97" s="912"/>
      <c r="BJ97" s="912"/>
      <c r="BK97" s="912"/>
      <c r="BL97" s="430"/>
      <c r="BM97" s="430"/>
      <c r="BN97" s="876"/>
      <c r="BO97" s="430"/>
      <c r="BP97" s="430"/>
      <c r="BQ97" s="430"/>
      <c r="BR97" s="430"/>
      <c r="BS97" s="430"/>
      <c r="BT97" s="876"/>
      <c r="BU97" s="430"/>
      <c r="BV97" s="430"/>
      <c r="BW97" s="430"/>
      <c r="BX97" s="430"/>
      <c r="BY97" s="430"/>
      <c r="BZ97" s="876"/>
      <c r="CA97" s="430"/>
      <c r="CB97" s="430"/>
      <c r="CC97" s="430"/>
      <c r="CD97" s="430"/>
      <c r="CE97" s="430"/>
      <c r="CF97" s="876"/>
      <c r="CG97" s="876"/>
      <c r="CH97" s="876"/>
      <c r="CI97" s="430"/>
      <c r="CJ97" s="430"/>
      <c r="CK97" s="430"/>
      <c r="CL97" s="430"/>
      <c r="CM97" s="430"/>
      <c r="CN97" s="876"/>
      <c r="CO97" s="430"/>
      <c r="CP97" s="430"/>
      <c r="CQ97" s="430"/>
      <c r="CR97" s="430"/>
      <c r="CS97" s="430"/>
      <c r="CT97" s="876"/>
      <c r="CU97" s="430"/>
      <c r="CV97" s="430"/>
      <c r="CW97" s="430"/>
      <c r="CX97" s="430"/>
      <c r="CY97" s="430"/>
      <c r="CZ97" s="876"/>
      <c r="DA97" s="430"/>
      <c r="DB97" s="430"/>
      <c r="DC97" s="430"/>
      <c r="DD97" s="430"/>
      <c r="DE97" s="430"/>
      <c r="DF97" s="430"/>
      <c r="DG97" s="430"/>
      <c r="DH97" s="430"/>
      <c r="DI97" s="430"/>
      <c r="DJ97" s="430"/>
      <c r="DK97" s="430"/>
      <c r="DL97" s="430"/>
      <c r="DM97" s="430"/>
      <c r="DN97" s="430"/>
      <c r="DO97" s="430"/>
      <c r="DP97" s="430"/>
      <c r="DQ97" s="430"/>
      <c r="DR97" s="430"/>
      <c r="DS97" s="430"/>
      <c r="DT97" s="430"/>
      <c r="DU97" s="430"/>
      <c r="DV97" s="430"/>
      <c r="DW97" s="430"/>
      <c r="DX97" s="430"/>
      <c r="DY97" s="430"/>
      <c r="DZ97" s="430"/>
      <c r="EA97" s="430"/>
      <c r="EB97" s="430"/>
      <c r="EC97" s="430"/>
      <c r="ED97" s="430"/>
      <c r="EE97" s="430"/>
      <c r="EF97" s="430"/>
      <c r="EG97" s="430"/>
      <c r="EH97" s="430"/>
      <c r="EI97" s="430"/>
      <c r="EJ97" s="430"/>
      <c r="EK97" s="430"/>
      <c r="EL97" s="430"/>
      <c r="EM97" s="430"/>
      <c r="EN97" s="430"/>
      <c r="EO97" s="430"/>
      <c r="EP97" s="430"/>
      <c r="EQ97" s="430"/>
      <c r="ER97" s="430"/>
      <c r="ES97" s="430"/>
      <c r="ET97" s="430"/>
      <c r="EU97" s="430"/>
      <c r="EV97" s="430"/>
      <c r="EW97" s="430"/>
      <c r="EX97" s="430"/>
      <c r="EY97" s="430"/>
      <c r="EZ97" s="430"/>
      <c r="FA97" s="430"/>
      <c r="FB97" s="430"/>
      <c r="FC97" s="430"/>
      <c r="FD97" s="430"/>
      <c r="FE97" s="430"/>
      <c r="FF97" s="430"/>
      <c r="FG97" s="430"/>
      <c r="FH97" s="430"/>
      <c r="FI97" s="430"/>
      <c r="FJ97" s="430"/>
      <c r="FK97" s="430"/>
      <c r="FL97" s="430"/>
      <c r="FM97" s="430"/>
      <c r="FN97" s="430"/>
      <c r="FO97" s="136" t="s">
        <v>57</v>
      </c>
      <c r="FP97" s="16">
        <f>SUM(FP90,FP92:FP93)</f>
        <v>0</v>
      </c>
      <c r="FQ97" s="88"/>
      <c r="FR97" s="88"/>
      <c r="FS97" s="16">
        <f>SUM(FS90,FS92:FS93)</f>
        <v>0</v>
      </c>
      <c r="FT97" s="430"/>
      <c r="FU97" s="16">
        <f>SUM(FU90,FU92:FU93)</f>
        <v>0</v>
      </c>
      <c r="FV97" s="32" t="e">
        <f>FS97/(FP97+FQ97+FR97)</f>
        <v>#DIV/0!</v>
      </c>
      <c r="FW97" s="32" t="e">
        <f>1-(FS97/(FP97+FQ97+FR97))</f>
        <v>#DIV/0!</v>
      </c>
      <c r="FX97" s="15">
        <f>SUM(FX90,FX92:FX93)</f>
        <v>46081.61</v>
      </c>
      <c r="FY97" s="89"/>
      <c r="FZ97" s="83">
        <f>FX97-FU97</f>
        <v>46081.61</v>
      </c>
      <c r="GA97" s="84"/>
      <c r="GB97" s="430"/>
    </row>
    <row r="98" spans="1:184" ht="13.5" thickBot="1">
      <c r="A98" s="430"/>
      <c r="B98" s="430"/>
      <c r="C98" s="430"/>
      <c r="D98" s="430"/>
      <c r="E98" s="430"/>
      <c r="F98" s="430"/>
      <c r="G98" s="430"/>
      <c r="H98" s="430"/>
      <c r="I98" s="430"/>
      <c r="J98" s="430"/>
      <c r="K98" s="430"/>
      <c r="L98" s="876"/>
      <c r="M98" s="430"/>
      <c r="N98" s="430"/>
      <c r="O98" s="1026"/>
      <c r="P98" s="430"/>
      <c r="Q98" s="430"/>
      <c r="R98" s="876"/>
      <c r="S98" s="430"/>
      <c r="T98" s="430"/>
      <c r="U98" s="430"/>
      <c r="V98" s="430"/>
      <c r="W98" s="430"/>
      <c r="X98" s="876"/>
      <c r="Y98" s="430"/>
      <c r="Z98" s="430"/>
      <c r="AA98" s="430"/>
      <c r="AB98" s="430"/>
      <c r="AC98" s="430"/>
      <c r="AD98" s="876"/>
      <c r="AE98" s="430"/>
      <c r="AF98" s="430"/>
      <c r="AG98" s="430"/>
      <c r="AH98" s="430"/>
      <c r="AI98" s="430"/>
      <c r="AJ98" s="876"/>
      <c r="AK98" s="430"/>
      <c r="AL98" s="430"/>
      <c r="AM98" s="430"/>
      <c r="AN98" s="430"/>
      <c r="AO98" s="430"/>
      <c r="AP98" s="876"/>
      <c r="AQ98" s="430"/>
      <c r="AR98" s="430"/>
      <c r="AS98" s="430"/>
      <c r="AT98" s="430"/>
      <c r="AU98" s="430"/>
      <c r="AV98" s="876"/>
      <c r="AW98" s="430"/>
      <c r="AX98" s="430"/>
      <c r="AY98" s="430"/>
      <c r="AZ98" s="430"/>
      <c r="BA98" s="430"/>
      <c r="BB98" s="876"/>
      <c r="BC98" s="430"/>
      <c r="BD98" s="430"/>
      <c r="BE98" s="430"/>
      <c r="BF98" s="430"/>
      <c r="BG98" s="430"/>
      <c r="BH98" s="876"/>
      <c r="BI98" s="430"/>
      <c r="BJ98" s="430"/>
      <c r="BK98" s="430"/>
      <c r="BL98" s="430"/>
      <c r="BM98" s="430"/>
      <c r="BN98" s="876"/>
      <c r="BO98" s="430"/>
      <c r="BP98" s="430"/>
      <c r="BQ98" s="430"/>
      <c r="BR98" s="430"/>
      <c r="BS98" s="430"/>
      <c r="BT98" s="876"/>
      <c r="BU98" s="430"/>
      <c r="BV98" s="430"/>
      <c r="BW98" s="430"/>
      <c r="BX98" s="430"/>
      <c r="BY98" s="430"/>
      <c r="BZ98" s="876"/>
      <c r="CA98" s="430"/>
      <c r="CB98" s="430"/>
      <c r="CC98" s="430"/>
      <c r="CD98" s="430"/>
      <c r="CE98" s="430"/>
      <c r="CF98" s="876"/>
      <c r="CG98" s="876"/>
      <c r="CH98" s="876"/>
      <c r="CI98" s="430"/>
      <c r="CJ98" s="430"/>
      <c r="CK98" s="430"/>
      <c r="CL98" s="430"/>
      <c r="CM98" s="430"/>
      <c r="CN98" s="876"/>
      <c r="CO98" s="430"/>
      <c r="CP98" s="430"/>
      <c r="CQ98" s="430"/>
      <c r="CR98" s="430"/>
      <c r="CS98" s="430"/>
      <c r="CT98" s="876"/>
      <c r="CU98" s="430"/>
      <c r="CV98" s="430"/>
      <c r="CW98" s="430"/>
      <c r="CX98" s="430"/>
      <c r="CY98" s="430"/>
      <c r="CZ98" s="876"/>
      <c r="DA98" s="430"/>
      <c r="DB98" s="430"/>
      <c r="DC98" s="430"/>
      <c r="DD98" s="430"/>
      <c r="DE98" s="430"/>
      <c r="DF98" s="430"/>
      <c r="DG98" s="430"/>
      <c r="DH98" s="430"/>
      <c r="DI98" s="430"/>
      <c r="DJ98" s="430"/>
      <c r="DK98" s="430"/>
      <c r="DL98" s="430"/>
      <c r="DM98" s="430"/>
      <c r="DN98" s="430"/>
      <c r="DO98" s="430"/>
      <c r="DP98" s="430"/>
      <c r="DQ98" s="430"/>
      <c r="DR98" s="430"/>
      <c r="DS98" s="430"/>
      <c r="DT98" s="430"/>
      <c r="DU98" s="430"/>
      <c r="DV98" s="430"/>
      <c r="DW98" s="430"/>
      <c r="DX98" s="430"/>
      <c r="DY98" s="430"/>
      <c r="DZ98" s="430"/>
      <c r="EA98" s="430"/>
      <c r="EB98" s="430"/>
      <c r="EC98" s="430"/>
      <c r="ED98" s="430"/>
      <c r="EE98" s="430"/>
      <c r="EF98" s="430"/>
      <c r="EG98" s="430"/>
      <c r="EH98" s="430"/>
      <c r="EI98" s="430"/>
      <c r="EJ98" s="430"/>
      <c r="EK98" s="430"/>
      <c r="EL98" s="430"/>
      <c r="EM98" s="430"/>
      <c r="EN98" s="430"/>
      <c r="EO98" s="430"/>
      <c r="EP98" s="430"/>
      <c r="EQ98" s="430"/>
      <c r="ER98" s="430"/>
      <c r="ES98" s="430"/>
      <c r="ET98" s="430"/>
      <c r="EU98" s="430"/>
      <c r="EV98" s="430"/>
      <c r="EW98" s="430"/>
      <c r="EX98" s="430"/>
      <c r="EY98" s="430"/>
      <c r="EZ98" s="430"/>
      <c r="FA98" s="430"/>
      <c r="FB98" s="430"/>
      <c r="FC98" s="430"/>
      <c r="FD98" s="430"/>
      <c r="FE98" s="430"/>
      <c r="FF98" s="430"/>
      <c r="FG98" s="430"/>
      <c r="FH98" s="430"/>
      <c r="FI98" s="430"/>
      <c r="FJ98" s="430"/>
      <c r="FK98" s="430"/>
      <c r="FL98" s="430"/>
      <c r="FM98" s="430"/>
      <c r="FN98" s="430"/>
      <c r="FO98" s="430"/>
      <c r="FP98" s="430"/>
      <c r="FQ98" s="430"/>
      <c r="FR98" s="430"/>
      <c r="FS98" s="430"/>
      <c r="FT98" s="430"/>
      <c r="FU98" s="430"/>
      <c r="FV98" s="430"/>
      <c r="FW98" s="430"/>
      <c r="FX98" s="430"/>
      <c r="FY98" s="430"/>
      <c r="FZ98" s="430"/>
      <c r="GA98" s="430"/>
      <c r="GB98" s="430"/>
    </row>
    <row r="99" spans="1:184" ht="13.5" thickBot="1">
      <c r="A99" s="430"/>
      <c r="B99" s="430"/>
      <c r="C99" s="430"/>
      <c r="D99" s="430"/>
      <c r="E99" s="430"/>
      <c r="F99" s="430"/>
      <c r="G99" s="430"/>
      <c r="H99" s="430"/>
      <c r="I99" s="430"/>
      <c r="J99" s="430"/>
      <c r="K99" s="430"/>
      <c r="L99" s="876"/>
      <c r="M99" s="430"/>
      <c r="N99" s="430"/>
      <c r="O99" s="430"/>
      <c r="P99" s="430"/>
      <c r="Q99" s="430"/>
      <c r="R99" s="876"/>
      <c r="S99" s="430"/>
      <c r="T99" s="430"/>
      <c r="U99" s="430"/>
      <c r="V99" s="430"/>
      <c r="W99" s="430"/>
      <c r="X99" s="876"/>
      <c r="Y99" s="430"/>
      <c r="Z99" s="430"/>
      <c r="AA99" s="430"/>
      <c r="AB99" s="430"/>
      <c r="AC99" s="430"/>
      <c r="AD99" s="876"/>
      <c r="AE99" s="430"/>
      <c r="AF99" s="430"/>
      <c r="AG99" s="738" t="s">
        <v>185</v>
      </c>
      <c r="AH99" s="739"/>
      <c r="AI99" s="739"/>
      <c r="AJ99" s="739"/>
      <c r="AK99" s="739"/>
      <c r="AL99" s="739"/>
      <c r="AM99" s="739"/>
      <c r="AN99" s="739"/>
      <c r="AO99" s="739"/>
      <c r="AP99" s="739"/>
      <c r="AQ99" s="739"/>
      <c r="AR99" s="739"/>
      <c r="AS99" s="739"/>
      <c r="AT99" s="739"/>
      <c r="AU99" s="739"/>
      <c r="AV99" s="740"/>
      <c r="AW99" s="430"/>
      <c r="AX99" s="430"/>
      <c r="AY99" s="430"/>
      <c r="AZ99" s="430"/>
      <c r="BA99" s="430"/>
      <c r="BB99" s="876"/>
      <c r="BC99" s="430"/>
      <c r="BD99" s="430"/>
      <c r="BE99" s="430"/>
      <c r="BF99" s="430"/>
      <c r="BG99" s="430"/>
      <c r="BH99" s="876"/>
      <c r="BI99" s="430"/>
      <c r="BJ99" s="430"/>
      <c r="BK99" s="430"/>
      <c r="BL99" s="430"/>
      <c r="BM99" s="430"/>
      <c r="BN99" s="876"/>
      <c r="BO99" s="430"/>
      <c r="BP99" s="430"/>
      <c r="BQ99" s="430"/>
      <c r="BR99" s="430"/>
      <c r="BS99" s="430"/>
      <c r="BT99" s="876"/>
      <c r="BU99" s="430"/>
      <c r="BV99" s="430"/>
      <c r="BW99" s="430"/>
      <c r="BX99" s="430"/>
      <c r="BY99" s="430"/>
      <c r="BZ99" s="876"/>
      <c r="CA99" s="738" t="s">
        <v>186</v>
      </c>
      <c r="CB99" s="739"/>
      <c r="CC99" s="739"/>
      <c r="CD99" s="739"/>
      <c r="CE99" s="739"/>
      <c r="CF99" s="739"/>
      <c r="CG99" s="739"/>
      <c r="CH99" s="739"/>
      <c r="CI99" s="739"/>
      <c r="CJ99" s="739"/>
      <c r="CK99" s="739"/>
      <c r="CL99" s="739"/>
      <c r="CM99" s="739"/>
      <c r="CN99" s="739"/>
      <c r="CO99" s="739"/>
      <c r="CP99" s="740"/>
      <c r="CQ99" s="430"/>
      <c r="CR99" s="430"/>
      <c r="CS99" s="430"/>
      <c r="CT99" s="876"/>
      <c r="CU99" s="430"/>
      <c r="CV99" s="430"/>
      <c r="CW99" s="430"/>
      <c r="CX99" s="430"/>
      <c r="CY99" s="430"/>
      <c r="CZ99" s="876"/>
      <c r="DA99" s="430"/>
      <c r="DB99" s="430"/>
      <c r="DC99" s="430"/>
      <c r="DD99" s="430"/>
      <c r="DE99" s="430"/>
      <c r="DF99" s="430"/>
      <c r="DG99" s="430"/>
      <c r="DH99" s="430"/>
      <c r="DI99" s="430"/>
      <c r="DJ99" s="430"/>
      <c r="DK99" s="430"/>
      <c r="DL99" s="430"/>
      <c r="DM99" s="430"/>
      <c r="DN99" s="430"/>
      <c r="DO99" s="430"/>
      <c r="DP99" s="430"/>
      <c r="DQ99" s="430"/>
      <c r="DR99" s="430"/>
      <c r="DS99" s="430"/>
      <c r="DT99" s="738" t="s">
        <v>187</v>
      </c>
      <c r="DU99" s="739"/>
      <c r="DV99" s="739"/>
      <c r="DW99" s="739"/>
      <c r="DX99" s="739"/>
      <c r="DY99" s="739"/>
      <c r="DZ99" s="739"/>
      <c r="EA99" s="739"/>
      <c r="EB99" s="739"/>
      <c r="EC99" s="739"/>
      <c r="ED99" s="739"/>
      <c r="EE99" s="739"/>
      <c r="EF99" s="739"/>
      <c r="EG99" s="739"/>
      <c r="EH99" s="740"/>
      <c r="EI99" s="430"/>
      <c r="EJ99" s="430"/>
      <c r="EK99" s="430"/>
      <c r="EL99" s="430"/>
      <c r="EM99" s="430"/>
      <c r="EN99" s="430"/>
      <c r="EO99" s="430"/>
      <c r="EP99" s="430"/>
      <c r="EQ99" s="430"/>
      <c r="ER99" s="430"/>
      <c r="ES99" s="430"/>
      <c r="ET99" s="430"/>
      <c r="EU99" s="430"/>
      <c r="EV99" s="430"/>
      <c r="EW99" s="430"/>
      <c r="EX99" s="430"/>
      <c r="EY99" s="430"/>
      <c r="EZ99" s="430"/>
      <c r="FA99" s="430"/>
      <c r="FB99" s="430"/>
      <c r="FC99" s="430"/>
      <c r="FD99" s="430"/>
      <c r="FE99" s="430"/>
      <c r="FF99" s="430"/>
      <c r="FG99" s="430"/>
      <c r="FH99" s="430"/>
      <c r="FI99" s="430"/>
      <c r="FJ99" s="430"/>
      <c r="FK99" s="430"/>
      <c r="FL99" s="430"/>
      <c r="FM99" s="738" t="s">
        <v>188</v>
      </c>
      <c r="FN99" s="739"/>
      <c r="FO99" s="739"/>
      <c r="FP99" s="739"/>
      <c r="FQ99" s="739"/>
      <c r="FR99" s="739"/>
      <c r="FS99" s="739"/>
      <c r="FT99" s="739"/>
      <c r="FU99" s="739"/>
      <c r="FV99" s="739"/>
      <c r="FW99" s="739"/>
      <c r="FX99" s="739"/>
      <c r="FY99" s="739"/>
      <c r="FZ99" s="739"/>
      <c r="GA99" s="739"/>
      <c r="GB99" s="740"/>
    </row>
    <row r="100" spans="1:184" ht="51.75" thickBot="1">
      <c r="A100" s="430"/>
      <c r="B100" s="430"/>
      <c r="C100" s="430"/>
      <c r="D100" s="430"/>
      <c r="E100" s="430"/>
      <c r="F100" s="430"/>
      <c r="G100" s="430"/>
      <c r="H100" s="430"/>
      <c r="I100" s="430"/>
      <c r="J100" s="430"/>
      <c r="K100" s="430"/>
      <c r="L100" s="876"/>
      <c r="M100" s="430"/>
      <c r="N100" s="430"/>
      <c r="O100" s="430"/>
      <c r="P100" s="430"/>
      <c r="Q100" s="430"/>
      <c r="R100" s="876"/>
      <c r="S100" s="430"/>
      <c r="T100" s="430"/>
      <c r="U100" s="430"/>
      <c r="V100" s="430"/>
      <c r="W100" s="430"/>
      <c r="X100" s="876"/>
      <c r="Y100" s="430"/>
      <c r="Z100" s="430"/>
      <c r="AA100" s="430"/>
      <c r="AB100" s="430"/>
      <c r="AC100" s="430"/>
      <c r="AD100" s="876"/>
      <c r="AE100" s="430"/>
      <c r="AF100" s="430"/>
      <c r="AG100" s="1005"/>
      <c r="AH100" s="998"/>
      <c r="AI100" s="997" t="s">
        <v>130</v>
      </c>
      <c r="AJ100" s="997" t="s">
        <v>131</v>
      </c>
      <c r="AK100" s="997" t="s">
        <v>132</v>
      </c>
      <c r="AL100" s="997" t="s">
        <v>189</v>
      </c>
      <c r="AM100" s="998" t="s">
        <v>134</v>
      </c>
      <c r="AN100" s="998" t="s">
        <v>135</v>
      </c>
      <c r="AO100" s="114" t="s">
        <v>136</v>
      </c>
      <c r="AP100" s="999" t="s">
        <v>137</v>
      </c>
      <c r="AQ100" s="998" t="s">
        <v>138</v>
      </c>
      <c r="AR100" s="114" t="s">
        <v>139</v>
      </c>
      <c r="AS100" s="997" t="s">
        <v>140</v>
      </c>
      <c r="AT100" s="997" t="s">
        <v>141</v>
      </c>
      <c r="AU100" s="1000" t="s">
        <v>142</v>
      </c>
      <c r="AV100" s="1001" t="s">
        <v>143</v>
      </c>
      <c r="AW100" s="430"/>
      <c r="AX100" s="430"/>
      <c r="AY100" s="430"/>
      <c r="AZ100" s="430"/>
      <c r="BA100" s="430"/>
      <c r="BB100" s="876"/>
      <c r="BC100" s="430"/>
      <c r="BD100" s="430"/>
      <c r="BE100" s="430"/>
      <c r="BF100" s="430"/>
      <c r="BG100" s="430"/>
      <c r="BH100" s="876"/>
      <c r="BI100" s="430"/>
      <c r="BJ100" s="430"/>
      <c r="BK100" s="430"/>
      <c r="BL100" s="430"/>
      <c r="BM100" s="430"/>
      <c r="BN100" s="876"/>
      <c r="BO100" s="430"/>
      <c r="BP100" s="430"/>
      <c r="BQ100" s="430"/>
      <c r="BR100" s="430"/>
      <c r="BS100" s="430"/>
      <c r="BT100" s="876"/>
      <c r="BU100" s="430"/>
      <c r="BV100" s="430"/>
      <c r="BW100" s="430"/>
      <c r="BX100" s="430"/>
      <c r="BY100" s="430"/>
      <c r="BZ100" s="876"/>
      <c r="CA100" s="1045"/>
      <c r="CB100" s="998"/>
      <c r="CC100" s="879" t="s">
        <v>130</v>
      </c>
      <c r="CD100" s="879" t="s">
        <v>131</v>
      </c>
      <c r="CE100" s="879" t="s">
        <v>132</v>
      </c>
      <c r="CF100" s="879" t="s">
        <v>189</v>
      </c>
      <c r="CG100" s="880" t="s">
        <v>134</v>
      </c>
      <c r="CH100" s="880" t="s">
        <v>135</v>
      </c>
      <c r="CI100" s="95" t="s">
        <v>136</v>
      </c>
      <c r="CJ100" s="880" t="s">
        <v>138</v>
      </c>
      <c r="CK100" s="95" t="s">
        <v>139</v>
      </c>
      <c r="CL100" s="879" t="s">
        <v>140</v>
      </c>
      <c r="CM100" s="879" t="s">
        <v>141</v>
      </c>
      <c r="CN100" s="886" t="s">
        <v>142</v>
      </c>
      <c r="CO100" s="887" t="s">
        <v>143</v>
      </c>
      <c r="CP100" s="984"/>
      <c r="CQ100" s="430"/>
      <c r="CR100" s="430"/>
      <c r="CS100" s="430"/>
      <c r="CT100" s="876"/>
      <c r="CU100" s="430"/>
      <c r="CV100" s="430"/>
      <c r="CW100" s="430"/>
      <c r="CX100" s="430"/>
      <c r="CY100" s="430"/>
      <c r="CZ100" s="876"/>
      <c r="DA100" s="430"/>
      <c r="DB100" s="430"/>
      <c r="DC100" s="430"/>
      <c r="DD100" s="430"/>
      <c r="DE100" s="430"/>
      <c r="DF100" s="430"/>
      <c r="DG100" s="430"/>
      <c r="DH100" s="430"/>
      <c r="DI100" s="430"/>
      <c r="DJ100" s="430"/>
      <c r="DK100" s="430"/>
      <c r="DL100" s="430"/>
      <c r="DM100" s="430"/>
      <c r="DN100" s="430"/>
      <c r="DO100" s="430"/>
      <c r="DP100" s="430"/>
      <c r="DQ100" s="430"/>
      <c r="DR100" s="430"/>
      <c r="DS100" s="430"/>
      <c r="DT100" s="1046"/>
      <c r="DU100" s="880"/>
      <c r="DV100" s="879" t="s">
        <v>130</v>
      </c>
      <c r="DW100" s="879" t="s">
        <v>131</v>
      </c>
      <c r="DX100" s="879" t="s">
        <v>132</v>
      </c>
      <c r="DY100" s="879" t="s">
        <v>189</v>
      </c>
      <c r="DZ100" s="880" t="s">
        <v>134</v>
      </c>
      <c r="EA100" s="880" t="s">
        <v>135</v>
      </c>
      <c r="EB100" s="95" t="s">
        <v>136</v>
      </c>
      <c r="EC100" s="880" t="s">
        <v>138</v>
      </c>
      <c r="ED100" s="95" t="s">
        <v>139</v>
      </c>
      <c r="EE100" s="879" t="s">
        <v>140</v>
      </c>
      <c r="EF100" s="879" t="s">
        <v>141</v>
      </c>
      <c r="EG100" s="886" t="s">
        <v>142</v>
      </c>
      <c r="EH100" s="887" t="s">
        <v>143</v>
      </c>
      <c r="EI100" s="430"/>
      <c r="EJ100" s="430"/>
      <c r="EK100" s="430"/>
      <c r="EL100" s="430"/>
      <c r="EM100" s="430"/>
      <c r="EN100" s="430"/>
      <c r="EO100" s="430"/>
      <c r="EP100" s="430"/>
      <c r="EQ100" s="430"/>
      <c r="ER100" s="430"/>
      <c r="ES100" s="430"/>
      <c r="ET100" s="430"/>
      <c r="EU100" s="430"/>
      <c r="EV100" s="430"/>
      <c r="EW100" s="430"/>
      <c r="EX100" s="430"/>
      <c r="EY100" s="430"/>
      <c r="EZ100" s="430"/>
      <c r="FA100" s="430"/>
      <c r="FB100" s="430"/>
      <c r="FC100" s="430"/>
      <c r="FD100" s="430"/>
      <c r="FE100" s="430"/>
      <c r="FF100" s="430"/>
      <c r="FG100" s="430"/>
      <c r="FH100" s="430"/>
      <c r="FI100" s="430"/>
      <c r="FJ100" s="430"/>
      <c r="FK100" s="430"/>
      <c r="FL100" s="430"/>
      <c r="FM100" s="1046"/>
      <c r="FN100" s="880"/>
      <c r="FO100" s="879" t="s">
        <v>130</v>
      </c>
      <c r="FP100" s="879" t="s">
        <v>131</v>
      </c>
      <c r="FQ100" s="879" t="s">
        <v>132</v>
      </c>
      <c r="FR100" s="879" t="s">
        <v>189</v>
      </c>
      <c r="FS100" s="880" t="s">
        <v>134</v>
      </c>
      <c r="FT100" s="880" t="s">
        <v>135</v>
      </c>
      <c r="FU100" s="95" t="s">
        <v>136</v>
      </c>
      <c r="FV100" s="880" t="s">
        <v>138</v>
      </c>
      <c r="FW100" s="95" t="s">
        <v>139</v>
      </c>
      <c r="FX100" s="879" t="s">
        <v>140</v>
      </c>
      <c r="FY100" s="879" t="s">
        <v>141</v>
      </c>
      <c r="FZ100" s="886" t="s">
        <v>142</v>
      </c>
      <c r="GA100" s="887" t="s">
        <v>143</v>
      </c>
      <c r="GB100" s="984"/>
    </row>
    <row r="101" spans="1:184">
      <c r="A101" s="430"/>
      <c r="B101" s="430"/>
      <c r="C101" s="430"/>
      <c r="D101" s="430"/>
      <c r="E101" s="430"/>
      <c r="F101" s="430"/>
      <c r="G101" s="430"/>
      <c r="H101" s="430"/>
      <c r="I101" s="430"/>
      <c r="J101" s="430"/>
      <c r="K101" s="430"/>
      <c r="L101" s="876"/>
      <c r="M101" s="430"/>
      <c r="N101" s="430"/>
      <c r="O101" s="430"/>
      <c r="P101" s="430"/>
      <c r="Q101" s="430"/>
      <c r="R101" s="876"/>
      <c r="S101" s="430"/>
      <c r="T101" s="430"/>
      <c r="U101" s="430"/>
      <c r="V101" s="430"/>
      <c r="W101" s="430"/>
      <c r="X101" s="876"/>
      <c r="Y101" s="430"/>
      <c r="Z101" s="430"/>
      <c r="AA101" s="430"/>
      <c r="AB101" s="430"/>
      <c r="AC101" s="430"/>
      <c r="AD101" s="876"/>
      <c r="AE101" s="430"/>
      <c r="AF101" s="430"/>
      <c r="AG101" s="1047"/>
      <c r="AH101" s="932">
        <v>1</v>
      </c>
      <c r="AI101" s="3" t="s">
        <v>146</v>
      </c>
      <c r="AJ101" s="22">
        <f t="shared" ref="AJ101:AP103" si="124">AJ5+T5+D5</f>
        <v>304774.3833333333</v>
      </c>
      <c r="AK101" s="22">
        <f t="shared" si="124"/>
        <v>789.13333333333344</v>
      </c>
      <c r="AL101" s="23">
        <f t="shared" si="124"/>
        <v>2336.3000000000002</v>
      </c>
      <c r="AM101" s="22">
        <f t="shared" si="124"/>
        <v>2781</v>
      </c>
      <c r="AN101" s="116">
        <f t="shared" si="124"/>
        <v>0</v>
      </c>
      <c r="AO101" s="21">
        <f t="shared" si="124"/>
        <v>305118.81666666665</v>
      </c>
      <c r="AP101" s="69">
        <f t="shared" si="124"/>
        <v>207446</v>
      </c>
      <c r="AQ101" s="99">
        <f t="shared" ref="AQ101:AQ117" si="125">(AM101-AN101)/(AJ101+AK101+AL101)</f>
        <v>9.0321586745558853E-3</v>
      </c>
      <c r="AR101" s="33">
        <f t="shared" ref="AR101:AR117" si="126">1-((AM101-AN101)/(AJ101+AK101+AL101))</f>
        <v>0.99096784132544413</v>
      </c>
      <c r="AS101" s="22">
        <f t="shared" ref="AS101:AT103" si="127">AS54+AC54+M54</f>
        <v>623955</v>
      </c>
      <c r="AT101" s="22">
        <f t="shared" si="127"/>
        <v>5088</v>
      </c>
      <c r="AU101" s="34">
        <f>SUM(AU102:AU103)</f>
        <v>7685.4666666667472</v>
      </c>
      <c r="AV101" s="35">
        <f>AS54+AT54-AO54+AC54+AD54-Y54+M54+N54-I54</f>
        <v>12773.466666666704</v>
      </c>
      <c r="AW101" s="430"/>
      <c r="AX101" s="430"/>
      <c r="AY101" s="430"/>
      <c r="AZ101" s="430"/>
      <c r="BA101" s="430"/>
      <c r="BB101" s="876"/>
      <c r="BC101" s="430"/>
      <c r="BD101" s="430"/>
      <c r="BE101" s="430"/>
      <c r="BF101" s="430"/>
      <c r="BG101" s="430"/>
      <c r="BH101" s="876"/>
      <c r="BI101" s="430"/>
      <c r="BJ101" s="430"/>
      <c r="BK101" s="430"/>
      <c r="BL101" s="430"/>
      <c r="BM101" s="430"/>
      <c r="BN101" s="876"/>
      <c r="BO101" s="430"/>
      <c r="BP101" s="430"/>
      <c r="BQ101" s="430"/>
      <c r="BR101" s="430"/>
      <c r="BS101" s="430"/>
      <c r="BT101" s="876"/>
      <c r="BU101" s="430"/>
      <c r="BV101" s="430"/>
      <c r="BW101" s="430"/>
      <c r="BX101" s="430"/>
      <c r="BY101" s="430"/>
      <c r="BZ101" s="876"/>
      <c r="CA101" s="911"/>
      <c r="CB101" s="876">
        <v>1</v>
      </c>
      <c r="CC101" s="3" t="s">
        <v>146</v>
      </c>
      <c r="CD101" s="22">
        <f t="shared" ref="CD101:CI103" si="128">CD5+BO5+AZ5</f>
        <v>305396.68333333329</v>
      </c>
      <c r="CE101" s="22">
        <f t="shared" si="128"/>
        <v>174.58333333333337</v>
      </c>
      <c r="CF101" s="23">
        <f t="shared" si="128"/>
        <v>25</v>
      </c>
      <c r="CG101" s="22">
        <f t="shared" si="128"/>
        <v>993</v>
      </c>
      <c r="CH101" s="116">
        <f t="shared" si="128"/>
        <v>0</v>
      </c>
      <c r="CI101" s="21">
        <f t="shared" si="128"/>
        <v>304603.2666666666</v>
      </c>
      <c r="CJ101" s="99">
        <f t="shared" ref="CJ101:CJ117" si="129">(CG101-CH101)/(CD101+CE101+CF101)</f>
        <v>3.2493852455440127E-3</v>
      </c>
      <c r="CK101" s="33">
        <f t="shared" ref="CK101:CK117" si="130">1-((CG101-CH101)/(CD101+CE101+CF101))</f>
        <v>0.99675061475445603</v>
      </c>
      <c r="CL101" s="22">
        <f>CL5+BW5+BH5</f>
        <v>307709.51666666666</v>
      </c>
      <c r="CM101" s="22">
        <f>CM5+BX5+BI5</f>
        <v>2544</v>
      </c>
      <c r="CN101" s="34">
        <f>SUM(CN102:CN103)</f>
        <v>3106.2500000000582</v>
      </c>
      <c r="CO101" s="35">
        <f>CL5+CM5-CI5+BW5+BX5-BT5+BH5+BI5-BE5</f>
        <v>5650.2500000000728</v>
      </c>
      <c r="CP101" s="984"/>
      <c r="CQ101" s="430"/>
      <c r="CR101" s="430"/>
      <c r="CS101" s="430"/>
      <c r="CT101" s="876"/>
      <c r="CU101" s="430"/>
      <c r="CV101" s="430"/>
      <c r="CW101" s="430"/>
      <c r="CX101" s="430"/>
      <c r="CY101" s="430"/>
      <c r="CZ101" s="876"/>
      <c r="DA101" s="430"/>
      <c r="DB101" s="430"/>
      <c r="DC101" s="430"/>
      <c r="DD101" s="430"/>
      <c r="DE101" s="430"/>
      <c r="DF101" s="430"/>
      <c r="DG101" s="430"/>
      <c r="DH101" s="430"/>
      <c r="DI101" s="430"/>
      <c r="DJ101" s="430"/>
      <c r="DK101" s="430"/>
      <c r="DL101" s="430"/>
      <c r="DM101" s="430"/>
      <c r="DN101" s="430"/>
      <c r="DO101" s="430"/>
      <c r="DP101" s="430"/>
      <c r="DQ101" s="430"/>
      <c r="DR101" s="430"/>
      <c r="DS101" s="430"/>
      <c r="DT101" s="911"/>
      <c r="DU101" s="876">
        <v>1</v>
      </c>
      <c r="DV101" s="3" t="s">
        <v>146</v>
      </c>
      <c r="DW101" s="22">
        <f t="shared" ref="DW101:EB103" si="131">DW5+DH5+CS5</f>
        <v>299546.23333333328</v>
      </c>
      <c r="DX101" s="22">
        <f t="shared" si="131"/>
        <v>0</v>
      </c>
      <c r="DY101" s="23">
        <f t="shared" si="131"/>
        <v>0</v>
      </c>
      <c r="DZ101" s="22">
        <f t="shared" si="131"/>
        <v>0</v>
      </c>
      <c r="EA101" s="116">
        <f t="shared" si="131"/>
        <v>0</v>
      </c>
      <c r="EB101" s="21">
        <f t="shared" si="131"/>
        <v>299546.23333333328</v>
      </c>
      <c r="EC101" s="99">
        <f t="shared" ref="EC101:EC117" si="132">(DZ101-EA101)/(DW101+DX101+DY101)</f>
        <v>0</v>
      </c>
      <c r="ED101" s="33">
        <f t="shared" ref="ED101:ED117" si="133">1-((DZ101-EA101)/(DW101+DX101+DY101))</f>
        <v>1</v>
      </c>
      <c r="EE101" s="22">
        <f>EE5+DP5+DA5</f>
        <v>301909.55000000005</v>
      </c>
      <c r="EF101" s="22">
        <f>EF5+DQ5+DB5</f>
        <v>2544</v>
      </c>
      <c r="EG101" s="34">
        <f>SUM(EG102:EG103)</f>
        <v>2363.3166666667457</v>
      </c>
      <c r="EH101" s="35">
        <f>EE5+EF5-EB5+DP5+DQ5-DM5+DA5+DB5-CX5</f>
        <v>4907.3166666667676</v>
      </c>
      <c r="EI101" s="430"/>
      <c r="EJ101" s="430"/>
      <c r="EK101" s="430"/>
      <c r="EL101" s="430"/>
      <c r="EM101" s="430"/>
      <c r="EN101" s="430"/>
      <c r="EO101" s="430"/>
      <c r="EP101" s="430"/>
      <c r="EQ101" s="430"/>
      <c r="ER101" s="430"/>
      <c r="ES101" s="430"/>
      <c r="ET101" s="430"/>
      <c r="EU101" s="430"/>
      <c r="EV101" s="430"/>
      <c r="EW101" s="430"/>
      <c r="EX101" s="430"/>
      <c r="EY101" s="430"/>
      <c r="EZ101" s="430"/>
      <c r="FA101" s="430"/>
      <c r="FB101" s="430"/>
      <c r="FC101" s="430"/>
      <c r="FD101" s="430"/>
      <c r="FE101" s="430"/>
      <c r="FF101" s="430"/>
      <c r="FG101" s="430"/>
      <c r="FH101" s="430"/>
      <c r="FI101" s="430"/>
      <c r="FJ101" s="430"/>
      <c r="FK101" s="430"/>
      <c r="FL101" s="430"/>
      <c r="FM101" s="911"/>
      <c r="FN101" s="876">
        <v>1</v>
      </c>
      <c r="FO101" s="3" t="s">
        <v>146</v>
      </c>
      <c r="FP101" s="22">
        <f t="shared" ref="FP101:FU103" si="134">FP5+FA5+EL5</f>
        <v>303455.93333333323</v>
      </c>
      <c r="FQ101" s="22">
        <f t="shared" si="134"/>
        <v>0</v>
      </c>
      <c r="FR101" s="23">
        <f t="shared" si="134"/>
        <v>0</v>
      </c>
      <c r="FS101" s="22">
        <f t="shared" si="134"/>
        <v>0</v>
      </c>
      <c r="FT101" s="116">
        <f t="shared" si="134"/>
        <v>0</v>
      </c>
      <c r="FU101" s="21">
        <f t="shared" si="134"/>
        <v>303455.93333333323</v>
      </c>
      <c r="FV101" s="99">
        <f t="shared" ref="FV101:FV117" si="135">(FS101-FT101)/(FP101+FQ101+FR101)</f>
        <v>0</v>
      </c>
      <c r="FW101" s="33">
        <f t="shared" ref="FW101:FW117" si="136">1-((FS101-FT101)/(FP101+FQ101+FR101))</f>
        <v>1</v>
      </c>
      <c r="FX101" s="22">
        <f>FX5+FI5+ET5</f>
        <v>305784.73333333334</v>
      </c>
      <c r="FY101" s="22">
        <f>FY5+FJ5+EU5</f>
        <v>2544</v>
      </c>
      <c r="FZ101" s="34">
        <f>SUM(FZ102:FZ103)</f>
        <v>2328.8000000001048</v>
      </c>
      <c r="GA101" s="35">
        <f>FX5+FY5-FU5+FI5+FJ5-FF5+ET5+EU5-EQ5</f>
        <v>4872.8000000001048</v>
      </c>
      <c r="GB101" s="984"/>
    </row>
    <row r="102" spans="1:184">
      <c r="A102" s="430"/>
      <c r="B102" s="430"/>
      <c r="C102" s="430"/>
      <c r="D102" s="430"/>
      <c r="E102" s="430"/>
      <c r="F102" s="430"/>
      <c r="G102" s="430"/>
      <c r="H102" s="430"/>
      <c r="I102" s="430"/>
      <c r="J102" s="430"/>
      <c r="K102" s="430"/>
      <c r="L102" s="876"/>
      <c r="M102" s="430"/>
      <c r="N102" s="430"/>
      <c r="O102" s="430"/>
      <c r="P102" s="430"/>
      <c r="Q102" s="430"/>
      <c r="R102" s="876"/>
      <c r="S102" s="430"/>
      <c r="T102" s="430"/>
      <c r="U102" s="430"/>
      <c r="V102" s="430"/>
      <c r="W102" s="430"/>
      <c r="X102" s="876"/>
      <c r="Y102" s="430"/>
      <c r="Z102" s="430"/>
      <c r="AA102" s="430"/>
      <c r="AB102" s="430"/>
      <c r="AC102" s="430"/>
      <c r="AD102" s="876"/>
      <c r="AE102" s="430"/>
      <c r="AF102" s="430"/>
      <c r="AG102" s="1047"/>
      <c r="AH102" s="932">
        <v>2</v>
      </c>
      <c r="AI102" s="876" t="s">
        <v>147</v>
      </c>
      <c r="AJ102" s="990">
        <f t="shared" si="124"/>
        <v>113836.16666666667</v>
      </c>
      <c r="AK102" s="990">
        <f t="shared" si="124"/>
        <v>395.7166666666667</v>
      </c>
      <c r="AL102" s="24">
        <f t="shared" si="124"/>
        <v>857.6</v>
      </c>
      <c r="AM102" s="990">
        <f t="shared" si="124"/>
        <v>836</v>
      </c>
      <c r="AN102" s="785">
        <f t="shared" si="124"/>
        <v>0</v>
      </c>
      <c r="AO102" s="1016">
        <f t="shared" si="124"/>
        <v>114253.48333333334</v>
      </c>
      <c r="AP102" s="1017">
        <f t="shared" si="124"/>
        <v>75913</v>
      </c>
      <c r="AQ102" s="930">
        <f t="shared" si="125"/>
        <v>7.2639130508449293E-3</v>
      </c>
      <c r="AR102" s="930">
        <f t="shared" si="126"/>
        <v>0.99273608694915505</v>
      </c>
      <c r="AS102" s="990">
        <f t="shared" si="127"/>
        <v>233879</v>
      </c>
      <c r="AT102" s="990">
        <f t="shared" si="127"/>
        <v>0</v>
      </c>
      <c r="AU102" s="1018">
        <f>AU55+AE55+O55</f>
        <v>3042.0166666666555</v>
      </c>
      <c r="AV102" s="1019"/>
      <c r="AW102" s="430"/>
      <c r="AX102" s="430"/>
      <c r="AY102" s="430"/>
      <c r="AZ102" s="430"/>
      <c r="BA102" s="430"/>
      <c r="BB102" s="876"/>
      <c r="BC102" s="430"/>
      <c r="BD102" s="430"/>
      <c r="BE102" s="430"/>
      <c r="BF102" s="430"/>
      <c r="BG102" s="430"/>
      <c r="BH102" s="876"/>
      <c r="BI102" s="430"/>
      <c r="BJ102" s="430"/>
      <c r="BK102" s="430"/>
      <c r="BL102" s="430"/>
      <c r="BM102" s="430"/>
      <c r="BN102" s="876"/>
      <c r="BO102" s="430"/>
      <c r="BP102" s="430"/>
      <c r="BQ102" s="430"/>
      <c r="BR102" s="430"/>
      <c r="BS102" s="430"/>
      <c r="BT102" s="876"/>
      <c r="BU102" s="430"/>
      <c r="BV102" s="430"/>
      <c r="BW102" s="430"/>
      <c r="BX102" s="430"/>
      <c r="BY102" s="430"/>
      <c r="BZ102" s="876"/>
      <c r="CA102" s="911"/>
      <c r="CB102" s="876">
        <v>2</v>
      </c>
      <c r="CC102" s="876" t="s">
        <v>147</v>
      </c>
      <c r="CD102" s="990">
        <f t="shared" si="128"/>
        <v>114161.73333333335</v>
      </c>
      <c r="CE102" s="990">
        <f t="shared" si="128"/>
        <v>125.38333333333335</v>
      </c>
      <c r="CF102" s="24">
        <f t="shared" si="128"/>
        <v>10.5</v>
      </c>
      <c r="CG102" s="990">
        <f t="shared" si="128"/>
        <v>374</v>
      </c>
      <c r="CH102" s="785">
        <f t="shared" si="128"/>
        <v>0</v>
      </c>
      <c r="CI102" s="1016">
        <f t="shared" si="128"/>
        <v>113923.61666666668</v>
      </c>
      <c r="CJ102" s="930">
        <f t="shared" si="129"/>
        <v>3.2721592182514154E-3</v>
      </c>
      <c r="CK102" s="930">
        <f t="shared" si="130"/>
        <v>0.99672784078174859</v>
      </c>
      <c r="CL102" s="990">
        <f>CL6+BW6+BH6</f>
        <v>115191</v>
      </c>
      <c r="CM102" s="990"/>
      <c r="CN102" s="1018">
        <f>CN6+BY6+BJ6</f>
        <v>1267.3833333333241</v>
      </c>
      <c r="CO102" s="1019"/>
      <c r="CP102" s="984"/>
      <c r="CQ102" s="430"/>
      <c r="CR102" s="430"/>
      <c r="CS102" s="430"/>
      <c r="CT102" s="876"/>
      <c r="CU102" s="430"/>
      <c r="CV102" s="430"/>
      <c r="CW102" s="430"/>
      <c r="CX102" s="430"/>
      <c r="CY102" s="430"/>
      <c r="CZ102" s="876"/>
      <c r="DA102" s="430"/>
      <c r="DB102" s="430"/>
      <c r="DC102" s="430"/>
      <c r="DD102" s="430"/>
      <c r="DE102" s="430"/>
      <c r="DF102" s="430"/>
      <c r="DG102" s="430"/>
      <c r="DH102" s="430"/>
      <c r="DI102" s="430"/>
      <c r="DJ102" s="430"/>
      <c r="DK102" s="430"/>
      <c r="DL102" s="430"/>
      <c r="DM102" s="430"/>
      <c r="DN102" s="430"/>
      <c r="DO102" s="430"/>
      <c r="DP102" s="430"/>
      <c r="DQ102" s="430"/>
      <c r="DR102" s="430"/>
      <c r="DS102" s="430"/>
      <c r="DT102" s="911"/>
      <c r="DU102" s="876">
        <v>2</v>
      </c>
      <c r="DV102" s="876" t="s">
        <v>147</v>
      </c>
      <c r="DW102" s="990">
        <f t="shared" si="131"/>
        <v>111959.85</v>
      </c>
      <c r="DX102" s="990">
        <f t="shared" si="131"/>
        <v>0</v>
      </c>
      <c r="DY102" s="24">
        <f t="shared" si="131"/>
        <v>0</v>
      </c>
      <c r="DZ102" s="990">
        <f t="shared" si="131"/>
        <v>0</v>
      </c>
      <c r="EA102" s="785">
        <f t="shared" si="131"/>
        <v>0</v>
      </c>
      <c r="EB102" s="1016">
        <f t="shared" si="131"/>
        <v>111959.85</v>
      </c>
      <c r="EC102" s="930">
        <f t="shared" si="132"/>
        <v>0</v>
      </c>
      <c r="ED102" s="930">
        <f t="shared" si="133"/>
        <v>1</v>
      </c>
      <c r="EE102" s="990">
        <f>EE6+DP6+DA6</f>
        <v>113019</v>
      </c>
      <c r="EF102" s="990"/>
      <c r="EG102" s="1018">
        <f>EG6+DR6+DC6</f>
        <v>1059.1499999999942</v>
      </c>
      <c r="EH102" s="1019"/>
      <c r="EI102" s="430"/>
      <c r="EJ102" s="430"/>
      <c r="EK102" s="430"/>
      <c r="EL102" s="430"/>
      <c r="EM102" s="430"/>
      <c r="EN102" s="430"/>
      <c r="EO102" s="430"/>
      <c r="EP102" s="430"/>
      <c r="EQ102" s="430"/>
      <c r="ER102" s="430"/>
      <c r="ES102" s="430"/>
      <c r="ET102" s="430"/>
      <c r="EU102" s="430"/>
      <c r="EV102" s="430"/>
      <c r="EW102" s="430"/>
      <c r="EX102" s="430"/>
      <c r="EY102" s="430"/>
      <c r="EZ102" s="430"/>
      <c r="FA102" s="430"/>
      <c r="FB102" s="430"/>
      <c r="FC102" s="430"/>
      <c r="FD102" s="430"/>
      <c r="FE102" s="430"/>
      <c r="FF102" s="430"/>
      <c r="FG102" s="430"/>
      <c r="FH102" s="430"/>
      <c r="FI102" s="430"/>
      <c r="FJ102" s="430"/>
      <c r="FK102" s="430"/>
      <c r="FL102" s="430"/>
      <c r="FM102" s="911"/>
      <c r="FN102" s="876">
        <v>2</v>
      </c>
      <c r="FO102" s="876" t="s">
        <v>147</v>
      </c>
      <c r="FP102" s="990">
        <f t="shared" si="134"/>
        <v>113446.28333333334</v>
      </c>
      <c r="FQ102" s="990">
        <f t="shared" si="134"/>
        <v>0</v>
      </c>
      <c r="FR102" s="24">
        <f t="shared" si="134"/>
        <v>0</v>
      </c>
      <c r="FS102" s="990">
        <f t="shared" si="134"/>
        <v>0</v>
      </c>
      <c r="FT102" s="785">
        <f t="shared" si="134"/>
        <v>0</v>
      </c>
      <c r="FU102" s="1016">
        <f t="shared" si="134"/>
        <v>113446.28333333334</v>
      </c>
      <c r="FV102" s="930">
        <f t="shared" si="135"/>
        <v>0</v>
      </c>
      <c r="FW102" s="930">
        <f t="shared" si="136"/>
        <v>1</v>
      </c>
      <c r="FX102" s="990">
        <f>FX6+FI6+ET6</f>
        <v>114485</v>
      </c>
      <c r="FY102" s="990"/>
      <c r="FZ102" s="1018">
        <f>FZ6+FK6+EV6</f>
        <v>1038.7166666666599</v>
      </c>
      <c r="GA102" s="1019"/>
      <c r="GB102" s="984"/>
    </row>
    <row r="103" spans="1:184">
      <c r="A103" s="430"/>
      <c r="B103" s="430"/>
      <c r="C103" s="430"/>
      <c r="D103" s="430"/>
      <c r="E103" s="430"/>
      <c r="F103" s="430"/>
      <c r="G103" s="430"/>
      <c r="H103" s="430"/>
      <c r="I103" s="430"/>
      <c r="J103" s="430"/>
      <c r="K103" s="430"/>
      <c r="L103" s="876"/>
      <c r="M103" s="430"/>
      <c r="N103" s="430"/>
      <c r="O103" s="430"/>
      <c r="P103" s="430"/>
      <c r="Q103" s="430"/>
      <c r="R103" s="876"/>
      <c r="S103" s="430"/>
      <c r="T103" s="430"/>
      <c r="U103" s="430"/>
      <c r="V103" s="430"/>
      <c r="W103" s="430"/>
      <c r="X103" s="876"/>
      <c r="Y103" s="430"/>
      <c r="Z103" s="430"/>
      <c r="AA103" s="430"/>
      <c r="AB103" s="430"/>
      <c r="AC103" s="430"/>
      <c r="AD103" s="876"/>
      <c r="AE103" s="430"/>
      <c r="AF103" s="430"/>
      <c r="AG103" s="1047"/>
      <c r="AH103" s="932">
        <v>3</v>
      </c>
      <c r="AI103" s="876" t="s">
        <v>148</v>
      </c>
      <c r="AJ103" s="990">
        <f t="shared" si="124"/>
        <v>190938.21666666659</v>
      </c>
      <c r="AK103" s="990">
        <f t="shared" si="124"/>
        <v>393.41666666666669</v>
      </c>
      <c r="AL103" s="24">
        <f t="shared" si="124"/>
        <v>1478.6999999999998</v>
      </c>
      <c r="AM103" s="990">
        <f t="shared" si="124"/>
        <v>1945</v>
      </c>
      <c r="AN103" s="785">
        <f t="shared" si="124"/>
        <v>0</v>
      </c>
      <c r="AO103" s="1016">
        <f t="shared" si="124"/>
        <v>190865.33333333328</v>
      </c>
      <c r="AP103" s="1017">
        <f t="shared" si="124"/>
        <v>131533</v>
      </c>
      <c r="AQ103" s="930">
        <f t="shared" si="125"/>
        <v>1.0087633615764027E-2</v>
      </c>
      <c r="AR103" s="930">
        <f t="shared" si="126"/>
        <v>0.98991236638423596</v>
      </c>
      <c r="AS103" s="990">
        <f t="shared" si="127"/>
        <v>390076</v>
      </c>
      <c r="AT103" s="990">
        <f t="shared" si="127"/>
        <v>0</v>
      </c>
      <c r="AU103" s="1018">
        <f>AU56+AE56+O56</f>
        <v>4643.4500000000917</v>
      </c>
      <c r="AV103" s="1019"/>
      <c r="AW103" s="430"/>
      <c r="AX103" s="430"/>
      <c r="AY103" s="430"/>
      <c r="AZ103" s="430"/>
      <c r="BA103" s="430"/>
      <c r="BB103" s="876"/>
      <c r="BC103" s="430"/>
      <c r="BD103" s="430"/>
      <c r="BE103" s="430"/>
      <c r="BF103" s="430"/>
      <c r="BG103" s="430"/>
      <c r="BH103" s="876"/>
      <c r="BI103" s="430"/>
      <c r="BJ103" s="430"/>
      <c r="BK103" s="430"/>
      <c r="BL103" s="430"/>
      <c r="BM103" s="430"/>
      <c r="BN103" s="876"/>
      <c r="BO103" s="430"/>
      <c r="BP103" s="430"/>
      <c r="BQ103" s="430"/>
      <c r="BR103" s="430"/>
      <c r="BS103" s="430"/>
      <c r="BT103" s="876"/>
      <c r="BU103" s="430"/>
      <c r="BV103" s="430"/>
      <c r="BW103" s="430"/>
      <c r="BX103" s="430"/>
      <c r="BY103" s="430"/>
      <c r="BZ103" s="876"/>
      <c r="CA103" s="911"/>
      <c r="CB103" s="876">
        <v>3</v>
      </c>
      <c r="CC103" s="876" t="s">
        <v>148</v>
      </c>
      <c r="CD103" s="990">
        <f t="shared" si="128"/>
        <v>191234.94999999995</v>
      </c>
      <c r="CE103" s="990">
        <f t="shared" si="128"/>
        <v>49.2</v>
      </c>
      <c r="CF103" s="24">
        <f t="shared" si="128"/>
        <v>14.5</v>
      </c>
      <c r="CG103" s="990">
        <f t="shared" si="128"/>
        <v>619</v>
      </c>
      <c r="CH103" s="785">
        <f t="shared" si="128"/>
        <v>0</v>
      </c>
      <c r="CI103" s="1016">
        <f t="shared" si="128"/>
        <v>190679.64999999994</v>
      </c>
      <c r="CJ103" s="930">
        <f t="shared" si="129"/>
        <v>3.2357781928936775E-3</v>
      </c>
      <c r="CK103" s="930">
        <f t="shared" si="130"/>
        <v>0.99676422180710633</v>
      </c>
      <c r="CL103" s="990">
        <f>CL7+BW7+BH7</f>
        <v>192518.51666666666</v>
      </c>
      <c r="CM103" s="990"/>
      <c r="CN103" s="1018">
        <f>CN7+BY7+BJ7</f>
        <v>1838.8666666667341</v>
      </c>
      <c r="CO103" s="1019"/>
      <c r="CP103" s="984"/>
      <c r="CQ103" s="430"/>
      <c r="CR103" s="430"/>
      <c r="CS103" s="430"/>
      <c r="CT103" s="876"/>
      <c r="CU103" s="430"/>
      <c r="CV103" s="430"/>
      <c r="CW103" s="430"/>
      <c r="CX103" s="430"/>
      <c r="CY103" s="430"/>
      <c r="CZ103" s="876"/>
      <c r="DA103" s="430"/>
      <c r="DB103" s="430"/>
      <c r="DC103" s="430"/>
      <c r="DD103" s="430"/>
      <c r="DE103" s="430"/>
      <c r="DF103" s="430"/>
      <c r="DG103" s="430"/>
      <c r="DH103" s="430"/>
      <c r="DI103" s="430"/>
      <c r="DJ103" s="430"/>
      <c r="DK103" s="430"/>
      <c r="DL103" s="430"/>
      <c r="DM103" s="430"/>
      <c r="DN103" s="430"/>
      <c r="DO103" s="430"/>
      <c r="DP103" s="430"/>
      <c r="DQ103" s="430"/>
      <c r="DR103" s="430"/>
      <c r="DS103" s="430"/>
      <c r="DT103" s="911"/>
      <c r="DU103" s="876">
        <v>3</v>
      </c>
      <c r="DV103" s="876" t="s">
        <v>148</v>
      </c>
      <c r="DW103" s="990">
        <f t="shared" si="131"/>
        <v>187586.38333333327</v>
      </c>
      <c r="DX103" s="990">
        <f t="shared" si="131"/>
        <v>0</v>
      </c>
      <c r="DY103" s="24">
        <f t="shared" si="131"/>
        <v>0</v>
      </c>
      <c r="DZ103" s="990">
        <f t="shared" si="131"/>
        <v>0</v>
      </c>
      <c r="EA103" s="785">
        <f t="shared" si="131"/>
        <v>0</v>
      </c>
      <c r="EB103" s="1016">
        <f t="shared" si="131"/>
        <v>187586.38333333327</v>
      </c>
      <c r="EC103" s="930">
        <f t="shared" si="132"/>
        <v>0</v>
      </c>
      <c r="ED103" s="930">
        <f t="shared" si="133"/>
        <v>1</v>
      </c>
      <c r="EE103" s="990">
        <f>EE7+DP7+DA7</f>
        <v>188890.55000000002</v>
      </c>
      <c r="EF103" s="990"/>
      <c r="EG103" s="1018">
        <f>EG7+DR7+DC7</f>
        <v>1304.1666666667516</v>
      </c>
      <c r="EH103" s="1019"/>
      <c r="EI103" s="430"/>
      <c r="EJ103" s="430"/>
      <c r="EK103" s="430"/>
      <c r="EL103" s="430"/>
      <c r="EM103" s="430"/>
      <c r="EN103" s="430"/>
      <c r="EO103" s="430"/>
      <c r="EP103" s="430"/>
      <c r="EQ103" s="430"/>
      <c r="ER103" s="430"/>
      <c r="ES103" s="430"/>
      <c r="ET103" s="430"/>
      <c r="EU103" s="430"/>
      <c r="EV103" s="430"/>
      <c r="EW103" s="430"/>
      <c r="EX103" s="430"/>
      <c r="EY103" s="430"/>
      <c r="EZ103" s="430"/>
      <c r="FA103" s="430"/>
      <c r="FB103" s="430"/>
      <c r="FC103" s="430"/>
      <c r="FD103" s="430"/>
      <c r="FE103" s="430"/>
      <c r="FF103" s="430"/>
      <c r="FG103" s="430"/>
      <c r="FH103" s="430"/>
      <c r="FI103" s="430"/>
      <c r="FJ103" s="430"/>
      <c r="FK103" s="430"/>
      <c r="FL103" s="430"/>
      <c r="FM103" s="911"/>
      <c r="FN103" s="876">
        <v>3</v>
      </c>
      <c r="FO103" s="876" t="s">
        <v>148</v>
      </c>
      <c r="FP103" s="990">
        <f t="shared" si="134"/>
        <v>190009.64999999991</v>
      </c>
      <c r="FQ103" s="990">
        <f t="shared" si="134"/>
        <v>0</v>
      </c>
      <c r="FR103" s="24">
        <f t="shared" si="134"/>
        <v>0</v>
      </c>
      <c r="FS103" s="990">
        <f t="shared" si="134"/>
        <v>0</v>
      </c>
      <c r="FT103" s="785">
        <f t="shared" si="134"/>
        <v>0</v>
      </c>
      <c r="FU103" s="1016">
        <f t="shared" si="134"/>
        <v>190009.64999999991</v>
      </c>
      <c r="FV103" s="930">
        <f t="shared" si="135"/>
        <v>0</v>
      </c>
      <c r="FW103" s="930">
        <f t="shared" si="136"/>
        <v>1</v>
      </c>
      <c r="FX103" s="990">
        <f>FX7+FI7+ET7</f>
        <v>191299.73333333334</v>
      </c>
      <c r="FY103" s="990"/>
      <c r="FZ103" s="1018">
        <f>FZ7+FK7+EV7</f>
        <v>1290.0833333334449</v>
      </c>
      <c r="GA103" s="1019"/>
      <c r="GB103" s="984"/>
    </row>
    <row r="104" spans="1:184">
      <c r="A104" s="430"/>
      <c r="B104" s="430"/>
      <c r="C104" s="430"/>
      <c r="D104" s="430"/>
      <c r="E104" s="430"/>
      <c r="F104" s="430"/>
      <c r="G104" s="430"/>
      <c r="H104" s="430"/>
      <c r="I104" s="430"/>
      <c r="J104" s="430"/>
      <c r="K104" s="430"/>
      <c r="L104" s="876"/>
      <c r="M104" s="430"/>
      <c r="N104" s="430"/>
      <c r="O104" s="430"/>
      <c r="P104" s="430"/>
      <c r="Q104" s="430"/>
      <c r="R104" s="876"/>
      <c r="S104" s="430"/>
      <c r="T104" s="430"/>
      <c r="U104" s="430"/>
      <c r="V104" s="430"/>
      <c r="W104" s="430"/>
      <c r="X104" s="876"/>
      <c r="Y104" s="430"/>
      <c r="Z104" s="430"/>
      <c r="AA104" s="430"/>
      <c r="AB104" s="430"/>
      <c r="AC104" s="430"/>
      <c r="AD104" s="876"/>
      <c r="AE104" s="430"/>
      <c r="AF104" s="430"/>
      <c r="AG104" s="1047"/>
      <c r="AH104" s="932">
        <v>4</v>
      </c>
      <c r="AI104" s="1" t="s">
        <v>149</v>
      </c>
      <c r="AJ104" s="22">
        <f t="shared" ref="AJ104:AP106" si="137">AJ9+T9+D9</f>
        <v>312175.01666666666</v>
      </c>
      <c r="AK104" s="22">
        <f t="shared" si="137"/>
        <v>516.88333333333344</v>
      </c>
      <c r="AL104" s="54">
        <f t="shared" si="137"/>
        <v>282.54999999999995</v>
      </c>
      <c r="AM104" s="38">
        <f t="shared" si="137"/>
        <v>2413</v>
      </c>
      <c r="AN104" s="25">
        <f t="shared" si="137"/>
        <v>0</v>
      </c>
      <c r="AO104" s="21">
        <f t="shared" si="137"/>
        <v>310561.44999999995</v>
      </c>
      <c r="AP104" s="69">
        <f t="shared" si="137"/>
        <v>204888</v>
      </c>
      <c r="AQ104" s="33">
        <f t="shared" si="125"/>
        <v>7.7098945297291834E-3</v>
      </c>
      <c r="AR104" s="33">
        <f t="shared" si="126"/>
        <v>0.99229010547027086</v>
      </c>
      <c r="AS104" s="22">
        <f t="shared" ref="AS104:AT106" si="138">AS58+AC58+M58</f>
        <v>635615</v>
      </c>
      <c r="AT104" s="22">
        <f t="shared" si="138"/>
        <v>5088</v>
      </c>
      <c r="AU104" s="34">
        <f>SUM(AU105:AU106)</f>
        <v>8765.6666666666715</v>
      </c>
      <c r="AV104" s="35">
        <f>AS58+AT58-AO58+AC58+AD58-Y58+M58+N58-I58</f>
        <v>13853.666666666715</v>
      </c>
      <c r="AW104" s="430"/>
      <c r="AX104" s="430"/>
      <c r="AY104" s="430"/>
      <c r="AZ104" s="430"/>
      <c r="BA104" s="430"/>
      <c r="BB104" s="876"/>
      <c r="BC104" s="430"/>
      <c r="BD104" s="430"/>
      <c r="BE104" s="430"/>
      <c r="BF104" s="430"/>
      <c r="BG104" s="430"/>
      <c r="BH104" s="876"/>
      <c r="BI104" s="430"/>
      <c r="BJ104" s="430"/>
      <c r="BK104" s="430"/>
      <c r="BL104" s="430"/>
      <c r="BM104" s="430"/>
      <c r="BN104" s="876"/>
      <c r="BO104" s="430"/>
      <c r="BP104" s="430"/>
      <c r="BQ104" s="430"/>
      <c r="BR104" s="430"/>
      <c r="BS104" s="430"/>
      <c r="BT104" s="876"/>
      <c r="BU104" s="430"/>
      <c r="BV104" s="430"/>
      <c r="BW104" s="430"/>
      <c r="BX104" s="430"/>
      <c r="BY104" s="430"/>
      <c r="BZ104" s="876"/>
      <c r="CA104" s="911"/>
      <c r="CB104" s="876">
        <v>4</v>
      </c>
      <c r="CC104" s="1" t="s">
        <v>149</v>
      </c>
      <c r="CD104" s="22">
        <f t="shared" ref="CD104:CI106" si="139">CD9+BO9+AZ9</f>
        <v>312865.2</v>
      </c>
      <c r="CE104" s="22">
        <f t="shared" si="139"/>
        <v>21.133333333333336</v>
      </c>
      <c r="CF104" s="54">
        <f t="shared" si="139"/>
        <v>358.30000000000007</v>
      </c>
      <c r="CG104" s="38">
        <f t="shared" si="139"/>
        <v>813</v>
      </c>
      <c r="CH104" s="25">
        <f t="shared" si="139"/>
        <v>0</v>
      </c>
      <c r="CI104" s="21">
        <f t="shared" si="139"/>
        <v>312431.63333333336</v>
      </c>
      <c r="CJ104" s="33">
        <f t="shared" si="129"/>
        <v>2.5954155745578611E-3</v>
      </c>
      <c r="CK104" s="33">
        <f t="shared" si="130"/>
        <v>0.99740458442544211</v>
      </c>
      <c r="CL104" s="22">
        <f>CL9+BW9+BH9</f>
        <v>314867.06666666665</v>
      </c>
      <c r="CM104" s="22">
        <f>CM9+BX9+BI9</f>
        <v>2544</v>
      </c>
      <c r="CN104" s="34">
        <f>SUM(CN105:CN106)</f>
        <v>2435.4333333333343</v>
      </c>
      <c r="CO104" s="35">
        <f>CL9+CM9-CI9+BW9+BX9-BT9+BH9+BI9-BE9</f>
        <v>4979.4333333333343</v>
      </c>
      <c r="CP104" s="984"/>
      <c r="CQ104" s="430"/>
      <c r="CR104" s="430"/>
      <c r="CS104" s="430"/>
      <c r="CT104" s="876"/>
      <c r="CU104" s="430"/>
      <c r="CV104" s="430"/>
      <c r="CW104" s="430"/>
      <c r="CX104" s="430"/>
      <c r="CY104" s="430"/>
      <c r="CZ104" s="876"/>
      <c r="DA104" s="430"/>
      <c r="DB104" s="430"/>
      <c r="DC104" s="430"/>
      <c r="DD104" s="430"/>
      <c r="DE104" s="430"/>
      <c r="DF104" s="430"/>
      <c r="DG104" s="430"/>
      <c r="DH104" s="430"/>
      <c r="DI104" s="430"/>
      <c r="DJ104" s="430"/>
      <c r="DK104" s="430"/>
      <c r="DL104" s="430"/>
      <c r="DM104" s="430"/>
      <c r="DN104" s="430"/>
      <c r="DO104" s="430"/>
      <c r="DP104" s="430"/>
      <c r="DQ104" s="430"/>
      <c r="DR104" s="430"/>
      <c r="DS104" s="430"/>
      <c r="DT104" s="911"/>
      <c r="DU104" s="876">
        <v>4</v>
      </c>
      <c r="DV104" s="1" t="s">
        <v>149</v>
      </c>
      <c r="DW104" s="22">
        <f t="shared" ref="DW104:EB106" si="140">DW9+DH9+CS9</f>
        <v>306865.59999999998</v>
      </c>
      <c r="DX104" s="22">
        <f t="shared" si="140"/>
        <v>0</v>
      </c>
      <c r="DY104" s="54">
        <f t="shared" si="140"/>
        <v>0</v>
      </c>
      <c r="DZ104" s="38">
        <f t="shared" si="140"/>
        <v>0</v>
      </c>
      <c r="EA104" s="25">
        <f t="shared" si="140"/>
        <v>0</v>
      </c>
      <c r="EB104" s="21">
        <f t="shared" si="140"/>
        <v>306865.59999999998</v>
      </c>
      <c r="EC104" s="33">
        <f t="shared" si="132"/>
        <v>0</v>
      </c>
      <c r="ED104" s="33">
        <f t="shared" si="133"/>
        <v>1</v>
      </c>
      <c r="EE104" s="22">
        <f>EE9+DP9+DA9</f>
        <v>308874.19999999995</v>
      </c>
      <c r="EF104" s="22">
        <f>EF9+DQ9+DB9</f>
        <v>2544</v>
      </c>
      <c r="EG104" s="34">
        <f>SUM(EG105:EG106)</f>
        <v>2008.6000000000422</v>
      </c>
      <c r="EH104" s="35">
        <f>EE9+EF9-EB9+DP9+DQ9-DM9+DA9+DB9-CX9</f>
        <v>4552.6000000000204</v>
      </c>
      <c r="EI104" s="430"/>
      <c r="EJ104" s="430"/>
      <c r="EK104" s="430"/>
      <c r="EL104" s="430"/>
      <c r="EM104" s="430"/>
      <c r="EN104" s="430"/>
      <c r="EO104" s="430"/>
      <c r="EP104" s="430"/>
      <c r="EQ104" s="430"/>
      <c r="ER104" s="430"/>
      <c r="ES104" s="430"/>
      <c r="ET104" s="430"/>
      <c r="EU104" s="430"/>
      <c r="EV104" s="430"/>
      <c r="EW104" s="430"/>
      <c r="EX104" s="430"/>
      <c r="EY104" s="430"/>
      <c r="EZ104" s="430"/>
      <c r="FA104" s="430"/>
      <c r="FB104" s="430"/>
      <c r="FC104" s="430"/>
      <c r="FD104" s="430"/>
      <c r="FE104" s="430"/>
      <c r="FF104" s="430"/>
      <c r="FG104" s="430"/>
      <c r="FH104" s="430"/>
      <c r="FI104" s="430"/>
      <c r="FJ104" s="430"/>
      <c r="FK104" s="430"/>
      <c r="FL104" s="430"/>
      <c r="FM104" s="911"/>
      <c r="FN104" s="876">
        <v>4</v>
      </c>
      <c r="FO104" s="1" t="s">
        <v>149</v>
      </c>
      <c r="FP104" s="22">
        <f t="shared" ref="FP104:FU106" si="141">FP9+FA9+EL9</f>
        <v>310863.23333333328</v>
      </c>
      <c r="FQ104" s="22">
        <f t="shared" si="141"/>
        <v>0</v>
      </c>
      <c r="FR104" s="54">
        <f t="shared" si="141"/>
        <v>0</v>
      </c>
      <c r="FS104" s="38">
        <f t="shared" si="141"/>
        <v>0</v>
      </c>
      <c r="FT104" s="25">
        <f t="shared" si="141"/>
        <v>0</v>
      </c>
      <c r="FU104" s="21">
        <f t="shared" si="141"/>
        <v>310863.23333333328</v>
      </c>
      <c r="FV104" s="33">
        <f t="shared" si="135"/>
        <v>0</v>
      </c>
      <c r="FW104" s="33">
        <f t="shared" si="136"/>
        <v>1</v>
      </c>
      <c r="FX104" s="22">
        <f>FX9+FI9+ET9</f>
        <v>312909.93333333335</v>
      </c>
      <c r="FY104" s="22">
        <f>FY9+FJ9+EU9</f>
        <v>2544</v>
      </c>
      <c r="FZ104" s="34">
        <f>SUM(FZ105:FZ106)</f>
        <v>2046.7000000000335</v>
      </c>
      <c r="GA104" s="35">
        <f>FX9+FY9-FU9+FI9+FJ9-FF9+ET9+EU9-EQ9</f>
        <v>4590.7000000000116</v>
      </c>
      <c r="GB104" s="984"/>
    </row>
    <row r="105" spans="1:184">
      <c r="A105" s="430"/>
      <c r="B105" s="430"/>
      <c r="C105" s="430"/>
      <c r="D105" s="430"/>
      <c r="E105" s="430"/>
      <c r="F105" s="430"/>
      <c r="G105" s="430"/>
      <c r="H105" s="430"/>
      <c r="I105" s="430"/>
      <c r="J105" s="430"/>
      <c r="K105" s="430"/>
      <c r="L105" s="876"/>
      <c r="M105" s="430"/>
      <c r="N105" s="430"/>
      <c r="O105" s="430"/>
      <c r="P105" s="430"/>
      <c r="Q105" s="430"/>
      <c r="R105" s="876"/>
      <c r="S105" s="430"/>
      <c r="T105" s="430"/>
      <c r="U105" s="430"/>
      <c r="V105" s="430"/>
      <c r="W105" s="430"/>
      <c r="X105" s="876"/>
      <c r="Y105" s="430"/>
      <c r="Z105" s="430"/>
      <c r="AA105" s="430"/>
      <c r="AB105" s="430"/>
      <c r="AC105" s="430"/>
      <c r="AD105" s="876"/>
      <c r="AE105" s="430"/>
      <c r="AF105" s="430"/>
      <c r="AG105" s="1047"/>
      <c r="AH105" s="932">
        <v>5</v>
      </c>
      <c r="AI105" s="876" t="s">
        <v>150</v>
      </c>
      <c r="AJ105" s="990">
        <f t="shared" si="137"/>
        <v>167227</v>
      </c>
      <c r="AK105" s="990">
        <f t="shared" si="137"/>
        <v>298.8</v>
      </c>
      <c r="AL105" s="55">
        <f t="shared" si="137"/>
        <v>0</v>
      </c>
      <c r="AM105" s="106">
        <f t="shared" si="137"/>
        <v>1600</v>
      </c>
      <c r="AN105" s="785">
        <f t="shared" si="137"/>
        <v>0</v>
      </c>
      <c r="AO105" s="1016">
        <f t="shared" si="137"/>
        <v>165925.80000000002</v>
      </c>
      <c r="AP105" s="1017">
        <f t="shared" si="137"/>
        <v>108554</v>
      </c>
      <c r="AQ105" s="930">
        <f t="shared" si="125"/>
        <v>9.5507677026463993E-3</v>
      </c>
      <c r="AR105" s="930">
        <f t="shared" si="126"/>
        <v>0.9904492322973536</v>
      </c>
      <c r="AS105" s="990">
        <f t="shared" si="138"/>
        <v>340593</v>
      </c>
      <c r="AT105" s="990">
        <f t="shared" si="138"/>
        <v>0</v>
      </c>
      <c r="AU105" s="1018">
        <f>AU59+AE59+O59</f>
        <v>5806.5499999999811</v>
      </c>
      <c r="AV105" s="1019"/>
      <c r="AW105" s="430"/>
      <c r="AX105" s="430"/>
      <c r="AY105" s="430"/>
      <c r="AZ105" s="430"/>
      <c r="BA105" s="430"/>
      <c r="BB105" s="876"/>
      <c r="BC105" s="430"/>
      <c r="BD105" s="430"/>
      <c r="BE105" s="430"/>
      <c r="BF105" s="430"/>
      <c r="BG105" s="430"/>
      <c r="BH105" s="876"/>
      <c r="BI105" s="430"/>
      <c r="BJ105" s="430"/>
      <c r="BK105" s="430"/>
      <c r="BL105" s="430"/>
      <c r="BM105" s="430"/>
      <c r="BN105" s="876"/>
      <c r="BO105" s="430"/>
      <c r="BP105" s="430"/>
      <c r="BQ105" s="430"/>
      <c r="BR105" s="430"/>
      <c r="BS105" s="430"/>
      <c r="BT105" s="876"/>
      <c r="BU105" s="430"/>
      <c r="BV105" s="430"/>
      <c r="BW105" s="430"/>
      <c r="BX105" s="430"/>
      <c r="BY105" s="430"/>
      <c r="BZ105" s="876"/>
      <c r="CA105" s="911"/>
      <c r="CB105" s="876">
        <v>5</v>
      </c>
      <c r="CC105" s="876" t="s">
        <v>150</v>
      </c>
      <c r="CD105" s="990">
        <f t="shared" si="139"/>
        <v>167589.23333333334</v>
      </c>
      <c r="CE105" s="990">
        <f t="shared" si="139"/>
        <v>46.966666666666661</v>
      </c>
      <c r="CF105" s="55">
        <f t="shared" si="139"/>
        <v>101.76666666666664</v>
      </c>
      <c r="CG105" s="106">
        <f t="shared" si="139"/>
        <v>538</v>
      </c>
      <c r="CH105" s="785">
        <f t="shared" si="139"/>
        <v>0</v>
      </c>
      <c r="CI105" s="1016">
        <f t="shared" si="139"/>
        <v>167199.96666666667</v>
      </c>
      <c r="CJ105" s="930">
        <f t="shared" si="129"/>
        <v>3.2073835798255967E-3</v>
      </c>
      <c r="CK105" s="930">
        <f t="shared" si="130"/>
        <v>0.99679261642017436</v>
      </c>
      <c r="CL105" s="990">
        <f>CL10+BW10+BH10</f>
        <v>168790.65</v>
      </c>
      <c r="CM105" s="990"/>
      <c r="CN105" s="1018">
        <f>CN10+BY10+BJ10</f>
        <v>1590.6833333333198</v>
      </c>
      <c r="CO105" s="1019"/>
      <c r="CP105" s="984"/>
      <c r="CQ105" s="430"/>
      <c r="CR105" s="430"/>
      <c r="CS105" s="430"/>
      <c r="CT105" s="876"/>
      <c r="CU105" s="430"/>
      <c r="CV105" s="430"/>
      <c r="CW105" s="430"/>
      <c r="CX105" s="430"/>
      <c r="CY105" s="430"/>
      <c r="CZ105" s="876"/>
      <c r="DA105" s="430"/>
      <c r="DB105" s="430"/>
      <c r="DC105" s="430"/>
      <c r="DD105" s="430"/>
      <c r="DE105" s="430"/>
      <c r="DF105" s="430"/>
      <c r="DG105" s="430"/>
      <c r="DH105" s="430"/>
      <c r="DI105" s="430"/>
      <c r="DJ105" s="430"/>
      <c r="DK105" s="430"/>
      <c r="DL105" s="430"/>
      <c r="DM105" s="430"/>
      <c r="DN105" s="430"/>
      <c r="DO105" s="430"/>
      <c r="DP105" s="430"/>
      <c r="DQ105" s="430"/>
      <c r="DR105" s="430"/>
      <c r="DS105" s="430"/>
      <c r="DT105" s="911"/>
      <c r="DU105" s="876">
        <v>5</v>
      </c>
      <c r="DV105" s="876" t="s">
        <v>150</v>
      </c>
      <c r="DW105" s="990">
        <f t="shared" si="140"/>
        <v>164340.76666666666</v>
      </c>
      <c r="DX105" s="990">
        <f t="shared" si="140"/>
        <v>0</v>
      </c>
      <c r="DY105" s="55">
        <f t="shared" si="140"/>
        <v>0</v>
      </c>
      <c r="DZ105" s="106">
        <f t="shared" si="140"/>
        <v>0</v>
      </c>
      <c r="EA105" s="785">
        <f t="shared" si="140"/>
        <v>0</v>
      </c>
      <c r="EB105" s="1016">
        <f t="shared" si="140"/>
        <v>164340.76666666666</v>
      </c>
      <c r="EC105" s="930">
        <f t="shared" si="132"/>
        <v>0</v>
      </c>
      <c r="ED105" s="930">
        <f t="shared" si="133"/>
        <v>1</v>
      </c>
      <c r="EE105" s="990">
        <f>EE10+DP10+DA10</f>
        <v>165517.95000000001</v>
      </c>
      <c r="EF105" s="990"/>
      <c r="EG105" s="1018">
        <f>EG10+DR10+DC10</f>
        <v>1177.1833333333343</v>
      </c>
      <c r="EH105" s="1019"/>
      <c r="EI105" s="430"/>
      <c r="EJ105" s="430"/>
      <c r="EK105" s="430"/>
      <c r="EL105" s="430"/>
      <c r="EM105" s="430"/>
      <c r="EN105" s="430"/>
      <c r="EO105" s="430"/>
      <c r="EP105" s="430"/>
      <c r="EQ105" s="430"/>
      <c r="ER105" s="430"/>
      <c r="ES105" s="430"/>
      <c r="ET105" s="430"/>
      <c r="EU105" s="430"/>
      <c r="EV105" s="430"/>
      <c r="EW105" s="430"/>
      <c r="EX105" s="430"/>
      <c r="EY105" s="430"/>
      <c r="EZ105" s="430"/>
      <c r="FA105" s="430"/>
      <c r="FB105" s="430"/>
      <c r="FC105" s="430"/>
      <c r="FD105" s="430"/>
      <c r="FE105" s="430"/>
      <c r="FF105" s="430"/>
      <c r="FG105" s="430"/>
      <c r="FH105" s="430"/>
      <c r="FI105" s="430"/>
      <c r="FJ105" s="430"/>
      <c r="FK105" s="430"/>
      <c r="FL105" s="430"/>
      <c r="FM105" s="911"/>
      <c r="FN105" s="876">
        <v>5</v>
      </c>
      <c r="FO105" s="876" t="s">
        <v>150</v>
      </c>
      <c r="FP105" s="990">
        <f t="shared" si="141"/>
        <v>166451.51666666666</v>
      </c>
      <c r="FQ105" s="990">
        <f t="shared" si="141"/>
        <v>0</v>
      </c>
      <c r="FR105" s="55">
        <f t="shared" si="141"/>
        <v>0</v>
      </c>
      <c r="FS105" s="106">
        <f t="shared" si="141"/>
        <v>0</v>
      </c>
      <c r="FT105" s="785">
        <f t="shared" si="141"/>
        <v>0</v>
      </c>
      <c r="FU105" s="1016">
        <f t="shared" si="141"/>
        <v>166451.51666666666</v>
      </c>
      <c r="FV105" s="930">
        <f t="shared" si="135"/>
        <v>0</v>
      </c>
      <c r="FW105" s="930">
        <f t="shared" si="136"/>
        <v>1</v>
      </c>
      <c r="FX105" s="990">
        <f>FX10+FI10+ET10</f>
        <v>167689.60000000001</v>
      </c>
      <c r="FY105" s="990"/>
      <c r="FZ105" s="1018">
        <f>FZ10+FK10+EV10</f>
        <v>1238.0833333333358</v>
      </c>
      <c r="GA105" s="1019"/>
      <c r="GB105" s="984"/>
    </row>
    <row r="106" spans="1:184">
      <c r="A106" s="430"/>
      <c r="B106" s="430"/>
      <c r="C106" s="430"/>
      <c r="D106" s="430"/>
      <c r="E106" s="430"/>
      <c r="F106" s="430"/>
      <c r="G106" s="430"/>
      <c r="H106" s="430"/>
      <c r="I106" s="430"/>
      <c r="J106" s="430"/>
      <c r="K106" s="430"/>
      <c r="L106" s="876"/>
      <c r="M106" s="430"/>
      <c r="N106" s="430"/>
      <c r="O106" s="430"/>
      <c r="P106" s="430"/>
      <c r="Q106" s="430"/>
      <c r="R106" s="876"/>
      <c r="S106" s="430"/>
      <c r="T106" s="430"/>
      <c r="U106" s="430"/>
      <c r="V106" s="430"/>
      <c r="W106" s="430"/>
      <c r="X106" s="876"/>
      <c r="Y106" s="430"/>
      <c r="Z106" s="430"/>
      <c r="AA106" s="430"/>
      <c r="AB106" s="430"/>
      <c r="AC106" s="430"/>
      <c r="AD106" s="876"/>
      <c r="AE106" s="430"/>
      <c r="AF106" s="430"/>
      <c r="AG106" s="1047"/>
      <c r="AH106" s="932">
        <v>6</v>
      </c>
      <c r="AI106" s="876" t="s">
        <v>151</v>
      </c>
      <c r="AJ106" s="990">
        <f t="shared" si="137"/>
        <v>144948.01666666666</v>
      </c>
      <c r="AK106" s="990">
        <f t="shared" si="137"/>
        <v>218.08333333333337</v>
      </c>
      <c r="AL106" s="55">
        <f t="shared" si="137"/>
        <v>282.54999999999995</v>
      </c>
      <c r="AM106" s="106">
        <f t="shared" si="137"/>
        <v>813</v>
      </c>
      <c r="AN106" s="785">
        <f t="shared" si="137"/>
        <v>0</v>
      </c>
      <c r="AO106" s="1016">
        <f t="shared" si="137"/>
        <v>144635.65</v>
      </c>
      <c r="AP106" s="1017">
        <f t="shared" si="137"/>
        <v>96334</v>
      </c>
      <c r="AQ106" s="930">
        <f t="shared" si="125"/>
        <v>5.5896015535379668E-3</v>
      </c>
      <c r="AR106" s="930">
        <f t="shared" si="126"/>
        <v>0.99441039844646206</v>
      </c>
      <c r="AS106" s="990">
        <f t="shared" si="138"/>
        <v>295022</v>
      </c>
      <c r="AT106" s="990">
        <f t="shared" si="138"/>
        <v>0</v>
      </c>
      <c r="AU106" s="1018">
        <f>AU60+AE60+O60</f>
        <v>2959.1166666666904</v>
      </c>
      <c r="AV106" s="1019"/>
      <c r="AW106" s="430"/>
      <c r="AX106" s="430"/>
      <c r="AY106" s="430"/>
      <c r="AZ106" s="430"/>
      <c r="BA106" s="430"/>
      <c r="BB106" s="876"/>
      <c r="BC106" s="430"/>
      <c r="BD106" s="430"/>
      <c r="BE106" s="430"/>
      <c r="BF106" s="430"/>
      <c r="BG106" s="430"/>
      <c r="BH106" s="876"/>
      <c r="BI106" s="430"/>
      <c r="BJ106" s="430"/>
      <c r="BK106" s="430"/>
      <c r="BL106" s="430"/>
      <c r="BM106" s="430"/>
      <c r="BN106" s="876"/>
      <c r="BO106" s="430"/>
      <c r="BP106" s="430"/>
      <c r="BQ106" s="430"/>
      <c r="BR106" s="430"/>
      <c r="BS106" s="430"/>
      <c r="BT106" s="876"/>
      <c r="BU106" s="430"/>
      <c r="BV106" s="430"/>
      <c r="BW106" s="430"/>
      <c r="BX106" s="430"/>
      <c r="BY106" s="430"/>
      <c r="BZ106" s="876"/>
      <c r="CA106" s="911"/>
      <c r="CB106" s="876">
        <v>6</v>
      </c>
      <c r="CC106" s="876" t="s">
        <v>151</v>
      </c>
      <c r="CD106" s="990">
        <f t="shared" si="139"/>
        <v>145275.96666666667</v>
      </c>
      <c r="CE106" s="990">
        <f t="shared" si="139"/>
        <v>-25.833333333333325</v>
      </c>
      <c r="CF106" s="55">
        <f t="shared" si="139"/>
        <v>256.53333333333342</v>
      </c>
      <c r="CG106" s="106">
        <f t="shared" si="139"/>
        <v>275</v>
      </c>
      <c r="CH106" s="785">
        <f t="shared" si="139"/>
        <v>0</v>
      </c>
      <c r="CI106" s="1016">
        <f t="shared" si="139"/>
        <v>145231.66666666666</v>
      </c>
      <c r="CJ106" s="930">
        <f t="shared" si="129"/>
        <v>1.8899477687162102E-3</v>
      </c>
      <c r="CK106" s="930">
        <f t="shared" si="130"/>
        <v>0.9981100522312838</v>
      </c>
      <c r="CL106" s="990">
        <f>CL11+BW11+BH11</f>
        <v>146076.41666666669</v>
      </c>
      <c r="CM106" s="990"/>
      <c r="CN106" s="1018">
        <f>CN11+BY11+BJ11</f>
        <v>844.75000000001455</v>
      </c>
      <c r="CO106" s="1019"/>
      <c r="CP106" s="984"/>
      <c r="CQ106" s="430"/>
      <c r="CR106" s="430"/>
      <c r="CS106" s="430"/>
      <c r="CT106" s="876"/>
      <c r="CU106" s="430"/>
      <c r="CV106" s="430"/>
      <c r="CW106" s="430"/>
      <c r="CX106" s="430"/>
      <c r="CY106" s="430"/>
      <c r="CZ106" s="876"/>
      <c r="DA106" s="430"/>
      <c r="DB106" s="430"/>
      <c r="DC106" s="430"/>
      <c r="DD106" s="430"/>
      <c r="DE106" s="430"/>
      <c r="DF106" s="430"/>
      <c r="DG106" s="430"/>
      <c r="DH106" s="430"/>
      <c r="DI106" s="430"/>
      <c r="DJ106" s="430"/>
      <c r="DK106" s="430"/>
      <c r="DL106" s="430"/>
      <c r="DM106" s="430"/>
      <c r="DN106" s="430"/>
      <c r="DO106" s="430"/>
      <c r="DP106" s="430"/>
      <c r="DQ106" s="430"/>
      <c r="DR106" s="430"/>
      <c r="DS106" s="430"/>
      <c r="DT106" s="911"/>
      <c r="DU106" s="876">
        <v>6</v>
      </c>
      <c r="DV106" s="876" t="s">
        <v>151</v>
      </c>
      <c r="DW106" s="990">
        <f t="shared" si="140"/>
        <v>142524.83333333331</v>
      </c>
      <c r="DX106" s="990">
        <f t="shared" si="140"/>
        <v>0</v>
      </c>
      <c r="DY106" s="55">
        <f t="shared" si="140"/>
        <v>0</v>
      </c>
      <c r="DZ106" s="106">
        <f t="shared" si="140"/>
        <v>0</v>
      </c>
      <c r="EA106" s="785">
        <f t="shared" si="140"/>
        <v>0</v>
      </c>
      <c r="EB106" s="1016">
        <f t="shared" si="140"/>
        <v>142524.83333333331</v>
      </c>
      <c r="EC106" s="930">
        <f t="shared" si="132"/>
        <v>0</v>
      </c>
      <c r="ED106" s="930">
        <f t="shared" si="133"/>
        <v>1</v>
      </c>
      <c r="EE106" s="990">
        <f>EE11+DP11+DA11</f>
        <v>143356.25</v>
      </c>
      <c r="EF106" s="990"/>
      <c r="EG106" s="1018">
        <f>EG11+DR11+DC11</f>
        <v>831.4166666667079</v>
      </c>
      <c r="EH106" s="1019"/>
      <c r="EI106" s="430"/>
      <c r="EJ106" s="430"/>
      <c r="EK106" s="430"/>
      <c r="EL106" s="430"/>
      <c r="EM106" s="430"/>
      <c r="EN106" s="430"/>
      <c r="EO106" s="430"/>
      <c r="EP106" s="430"/>
      <c r="EQ106" s="430"/>
      <c r="ER106" s="430"/>
      <c r="ES106" s="430"/>
      <c r="ET106" s="430"/>
      <c r="EU106" s="430"/>
      <c r="EV106" s="430"/>
      <c r="EW106" s="430"/>
      <c r="EX106" s="430"/>
      <c r="EY106" s="430"/>
      <c r="EZ106" s="430"/>
      <c r="FA106" s="430"/>
      <c r="FB106" s="430"/>
      <c r="FC106" s="430"/>
      <c r="FD106" s="430"/>
      <c r="FE106" s="430"/>
      <c r="FF106" s="430"/>
      <c r="FG106" s="430"/>
      <c r="FH106" s="430"/>
      <c r="FI106" s="430"/>
      <c r="FJ106" s="430"/>
      <c r="FK106" s="430"/>
      <c r="FL106" s="430"/>
      <c r="FM106" s="911"/>
      <c r="FN106" s="876">
        <v>6</v>
      </c>
      <c r="FO106" s="876" t="s">
        <v>151</v>
      </c>
      <c r="FP106" s="990">
        <f t="shared" si="141"/>
        <v>144411.71666666665</v>
      </c>
      <c r="FQ106" s="990">
        <f t="shared" si="141"/>
        <v>0</v>
      </c>
      <c r="FR106" s="55">
        <f t="shared" si="141"/>
        <v>0</v>
      </c>
      <c r="FS106" s="106">
        <f t="shared" si="141"/>
        <v>0</v>
      </c>
      <c r="FT106" s="785">
        <f t="shared" si="141"/>
        <v>0</v>
      </c>
      <c r="FU106" s="1016">
        <f t="shared" si="141"/>
        <v>144411.71666666665</v>
      </c>
      <c r="FV106" s="930">
        <f t="shared" si="135"/>
        <v>0</v>
      </c>
      <c r="FW106" s="930">
        <f t="shared" si="136"/>
        <v>1</v>
      </c>
      <c r="FX106" s="990">
        <f>FX11+FI11+ET11</f>
        <v>145220.33333333334</v>
      </c>
      <c r="FY106" s="990"/>
      <c r="FZ106" s="1018">
        <f>FZ11+FK11+EV11</f>
        <v>808.61666666669771</v>
      </c>
      <c r="GA106" s="1019"/>
      <c r="GB106" s="984"/>
    </row>
    <row r="107" spans="1:184">
      <c r="A107" s="430"/>
      <c r="B107" s="430"/>
      <c r="C107" s="430"/>
      <c r="D107" s="430"/>
      <c r="E107" s="430"/>
      <c r="F107" s="430"/>
      <c r="G107" s="430"/>
      <c r="H107" s="430"/>
      <c r="I107" s="430"/>
      <c r="J107" s="430"/>
      <c r="K107" s="430"/>
      <c r="L107" s="876"/>
      <c r="M107" s="430"/>
      <c r="N107" s="430"/>
      <c r="O107" s="430"/>
      <c r="P107" s="430"/>
      <c r="Q107" s="430"/>
      <c r="R107" s="876"/>
      <c r="S107" s="430"/>
      <c r="T107" s="430"/>
      <c r="U107" s="430"/>
      <c r="V107" s="430"/>
      <c r="W107" s="430"/>
      <c r="X107" s="876"/>
      <c r="Y107" s="430"/>
      <c r="Z107" s="430"/>
      <c r="AA107" s="430"/>
      <c r="AB107" s="430"/>
      <c r="AC107" s="430"/>
      <c r="AD107" s="876"/>
      <c r="AE107" s="430"/>
      <c r="AF107" s="430"/>
      <c r="AG107" s="1047"/>
      <c r="AH107" s="932">
        <v>7</v>
      </c>
      <c r="AI107" s="1" t="s">
        <v>152</v>
      </c>
      <c r="AJ107" s="22">
        <f t="shared" ref="AJ107:AP109" si="142">AJ13+T13+D13</f>
        <v>257436.66666666669</v>
      </c>
      <c r="AK107" s="22">
        <f t="shared" si="142"/>
        <v>352.51666666666665</v>
      </c>
      <c r="AL107" s="56">
        <f t="shared" si="142"/>
        <v>0</v>
      </c>
      <c r="AM107" s="38">
        <f t="shared" si="142"/>
        <v>2216</v>
      </c>
      <c r="AN107" s="25">
        <f t="shared" si="142"/>
        <v>0</v>
      </c>
      <c r="AO107" s="21">
        <f t="shared" si="142"/>
        <v>255573.18333333335</v>
      </c>
      <c r="AP107" s="69">
        <f t="shared" si="142"/>
        <v>172059</v>
      </c>
      <c r="AQ107" s="33">
        <f t="shared" si="125"/>
        <v>8.596171380606801E-3</v>
      </c>
      <c r="AR107" s="33">
        <f t="shared" si="126"/>
        <v>0.99140382861939325</v>
      </c>
      <c r="AS107" s="22">
        <f t="shared" ref="AS107:AT109" si="143">AS62+AC62+M62</f>
        <v>521334</v>
      </c>
      <c r="AT107" s="22">
        <f t="shared" si="143"/>
        <v>5088</v>
      </c>
      <c r="AU107" s="34">
        <f>SUM(AU108:AU109)</f>
        <v>5763.3166666665857</v>
      </c>
      <c r="AV107" s="35">
        <f>AS62+AT62-AO62+AC62+AD62-Y62+M62+N62-I62</f>
        <v>10851.316666666607</v>
      </c>
      <c r="AW107" s="430"/>
      <c r="AX107" s="430"/>
      <c r="AY107" s="430"/>
      <c r="AZ107" s="430"/>
      <c r="BA107" s="430"/>
      <c r="BB107" s="876"/>
      <c r="BC107" s="430"/>
      <c r="BD107" s="430"/>
      <c r="BE107" s="430"/>
      <c r="BF107" s="430"/>
      <c r="BG107" s="430"/>
      <c r="BH107" s="876"/>
      <c r="BI107" s="430"/>
      <c r="BJ107" s="430"/>
      <c r="BK107" s="430"/>
      <c r="BL107" s="430"/>
      <c r="BM107" s="430"/>
      <c r="BN107" s="876"/>
      <c r="BO107" s="430"/>
      <c r="BP107" s="430"/>
      <c r="BQ107" s="430"/>
      <c r="BR107" s="430"/>
      <c r="BS107" s="430"/>
      <c r="BT107" s="876"/>
      <c r="BU107" s="430"/>
      <c r="BV107" s="430"/>
      <c r="BW107" s="430"/>
      <c r="BX107" s="430"/>
      <c r="BY107" s="430"/>
      <c r="BZ107" s="876"/>
      <c r="CA107" s="911"/>
      <c r="CB107" s="876">
        <v>7</v>
      </c>
      <c r="CC107" s="1" t="s">
        <v>152</v>
      </c>
      <c r="CD107" s="22">
        <f t="shared" ref="CD107:CI109" si="144">CD13+BO13+AZ13</f>
        <v>257662.75000000003</v>
      </c>
      <c r="CE107" s="22">
        <f t="shared" si="144"/>
        <v>132.18333333333337</v>
      </c>
      <c r="CF107" s="56">
        <f t="shared" si="144"/>
        <v>0</v>
      </c>
      <c r="CG107" s="38">
        <f t="shared" si="144"/>
        <v>692</v>
      </c>
      <c r="CH107" s="25">
        <f t="shared" si="144"/>
        <v>0</v>
      </c>
      <c r="CI107" s="21">
        <f t="shared" si="144"/>
        <v>257102.93333333335</v>
      </c>
      <c r="CJ107" s="33">
        <f t="shared" si="129"/>
        <v>2.6843041135538219E-3</v>
      </c>
      <c r="CK107" s="33">
        <f t="shared" si="130"/>
        <v>0.9973156958864462</v>
      </c>
      <c r="CL107" s="22">
        <f>CL13+BW13+BH13</f>
        <v>258434.18666666668</v>
      </c>
      <c r="CM107" s="22">
        <f>CM13+BX13+BI13</f>
        <v>2544</v>
      </c>
      <c r="CN107" s="34">
        <f>SUM(CN108:CN109)</f>
        <v>1331.2533333332976</v>
      </c>
      <c r="CO107" s="35">
        <f>CL13+CM13-CI13+BW13+BX13-BT13+BH13+BI13-BE13</f>
        <v>3875.2533333333122</v>
      </c>
      <c r="CP107" s="984"/>
      <c r="CQ107" s="430"/>
      <c r="CR107" s="430"/>
      <c r="CS107" s="430"/>
      <c r="CT107" s="876"/>
      <c r="CU107" s="430"/>
      <c r="CV107" s="430"/>
      <c r="CW107" s="430"/>
      <c r="CX107" s="430"/>
      <c r="CY107" s="430"/>
      <c r="CZ107" s="876"/>
      <c r="DA107" s="430"/>
      <c r="DB107" s="430"/>
      <c r="DC107" s="430"/>
      <c r="DD107" s="430"/>
      <c r="DE107" s="430"/>
      <c r="DF107" s="430"/>
      <c r="DG107" s="430"/>
      <c r="DH107" s="430"/>
      <c r="DI107" s="430"/>
      <c r="DJ107" s="430"/>
      <c r="DK107" s="430"/>
      <c r="DL107" s="430"/>
      <c r="DM107" s="430"/>
      <c r="DN107" s="430"/>
      <c r="DO107" s="430"/>
      <c r="DP107" s="430"/>
      <c r="DQ107" s="430"/>
      <c r="DR107" s="430"/>
      <c r="DS107" s="430"/>
      <c r="DT107" s="911"/>
      <c r="DU107" s="876">
        <v>7</v>
      </c>
      <c r="DV107" s="1" t="s">
        <v>152</v>
      </c>
      <c r="DW107" s="22">
        <f t="shared" ref="DW107:EB109" si="145">DW13+DH13+CS13</f>
        <v>252688.33333333334</v>
      </c>
      <c r="DX107" s="22">
        <f t="shared" si="145"/>
        <v>0</v>
      </c>
      <c r="DY107" s="56">
        <f t="shared" si="145"/>
        <v>0</v>
      </c>
      <c r="DZ107" s="38">
        <f t="shared" si="145"/>
        <v>0</v>
      </c>
      <c r="EA107" s="25">
        <f t="shared" si="145"/>
        <v>0</v>
      </c>
      <c r="EB107" s="21">
        <f t="shared" si="145"/>
        <v>252688.33333333334</v>
      </c>
      <c r="EC107" s="33">
        <f t="shared" si="132"/>
        <v>0</v>
      </c>
      <c r="ED107" s="33">
        <f t="shared" si="133"/>
        <v>1</v>
      </c>
      <c r="EE107" s="22">
        <f>EE13+DP13+DA13</f>
        <v>253479</v>
      </c>
      <c r="EF107" s="22">
        <f>EF13+DQ13+DB13</f>
        <v>2544</v>
      </c>
      <c r="EG107" s="34">
        <f>SUM(EG108:EG109)</f>
        <v>790.66666666662786</v>
      </c>
      <c r="EH107" s="35">
        <f>EE13+EF13-EB13+DP13+DQ13-DM13+DA13+DB13-CX13</f>
        <v>3334.6666666666424</v>
      </c>
      <c r="EI107" s="430"/>
      <c r="EJ107" s="430"/>
      <c r="EK107" s="430"/>
      <c r="EL107" s="430"/>
      <c r="EM107" s="430"/>
      <c r="EN107" s="430"/>
      <c r="EO107" s="430"/>
      <c r="EP107" s="430"/>
      <c r="EQ107" s="430"/>
      <c r="ER107" s="430"/>
      <c r="ES107" s="430"/>
      <c r="ET107" s="430"/>
      <c r="EU107" s="430"/>
      <c r="EV107" s="430"/>
      <c r="EW107" s="430"/>
      <c r="EX107" s="430"/>
      <c r="EY107" s="430"/>
      <c r="EZ107" s="430"/>
      <c r="FA107" s="430"/>
      <c r="FB107" s="430"/>
      <c r="FC107" s="430"/>
      <c r="FD107" s="430"/>
      <c r="FE107" s="430"/>
      <c r="FF107" s="430"/>
      <c r="FG107" s="430"/>
      <c r="FH107" s="430"/>
      <c r="FI107" s="430"/>
      <c r="FJ107" s="430"/>
      <c r="FK107" s="430"/>
      <c r="FL107" s="430"/>
      <c r="FM107" s="911"/>
      <c r="FN107" s="876">
        <v>7</v>
      </c>
      <c r="FO107" s="1" t="s">
        <v>152</v>
      </c>
      <c r="FP107" s="22">
        <f t="shared" ref="FP107:FU109" si="146">FP13+FA13+EL13</f>
        <v>255842.51666666666</v>
      </c>
      <c r="FQ107" s="22">
        <f t="shared" si="146"/>
        <v>0</v>
      </c>
      <c r="FR107" s="56">
        <f t="shared" si="146"/>
        <v>0</v>
      </c>
      <c r="FS107" s="38">
        <f t="shared" si="146"/>
        <v>0</v>
      </c>
      <c r="FT107" s="25">
        <f t="shared" si="146"/>
        <v>0</v>
      </c>
      <c r="FU107" s="21">
        <f t="shared" si="146"/>
        <v>255842.51666666666</v>
      </c>
      <c r="FV107" s="33">
        <f t="shared" si="135"/>
        <v>0</v>
      </c>
      <c r="FW107" s="33">
        <f t="shared" si="136"/>
        <v>1</v>
      </c>
      <c r="FX107" s="22">
        <f>FX13+FI13+ET13</f>
        <v>256617.97099999999</v>
      </c>
      <c r="FY107" s="22">
        <f>FY13+FJ13+EU13</f>
        <v>2544</v>
      </c>
      <c r="FZ107" s="34">
        <f>SUM(FZ108:FZ109)</f>
        <v>775.45433333333494</v>
      </c>
      <c r="GA107" s="35">
        <f>FX13+FY13-FU13+FI13+FJ13-FF13+ET13+EU13-EQ13</f>
        <v>3319.4543333333277</v>
      </c>
      <c r="GB107" s="984"/>
    </row>
    <row r="108" spans="1:184">
      <c r="A108" s="430"/>
      <c r="B108" s="430"/>
      <c r="C108" s="430"/>
      <c r="D108" s="430"/>
      <c r="E108" s="430"/>
      <c r="F108" s="430"/>
      <c r="G108" s="430"/>
      <c r="H108" s="430"/>
      <c r="I108" s="430"/>
      <c r="J108" s="430"/>
      <c r="K108" s="430"/>
      <c r="L108" s="876"/>
      <c r="M108" s="430"/>
      <c r="N108" s="430"/>
      <c r="O108" s="430"/>
      <c r="P108" s="430"/>
      <c r="Q108" s="430"/>
      <c r="R108" s="876"/>
      <c r="S108" s="430"/>
      <c r="T108" s="430"/>
      <c r="U108" s="430"/>
      <c r="V108" s="430"/>
      <c r="W108" s="430"/>
      <c r="X108" s="876"/>
      <c r="Y108" s="430"/>
      <c r="Z108" s="430"/>
      <c r="AA108" s="430"/>
      <c r="AB108" s="430"/>
      <c r="AC108" s="430"/>
      <c r="AD108" s="876"/>
      <c r="AE108" s="430"/>
      <c r="AF108" s="430"/>
      <c r="AG108" s="1047"/>
      <c r="AH108" s="932">
        <v>8</v>
      </c>
      <c r="AI108" s="876" t="s">
        <v>153</v>
      </c>
      <c r="AJ108" s="990">
        <f t="shared" si="142"/>
        <v>129038.75000000001</v>
      </c>
      <c r="AK108" s="990">
        <f t="shared" si="142"/>
        <v>107.79999999999998</v>
      </c>
      <c r="AL108" s="57">
        <f t="shared" si="142"/>
        <v>0</v>
      </c>
      <c r="AM108" s="106">
        <f t="shared" si="142"/>
        <v>771</v>
      </c>
      <c r="AN108" s="785">
        <f t="shared" si="142"/>
        <v>0</v>
      </c>
      <c r="AO108" s="1016">
        <f t="shared" si="142"/>
        <v>128375.55000000002</v>
      </c>
      <c r="AP108" s="1017">
        <f t="shared" si="142"/>
        <v>86555</v>
      </c>
      <c r="AQ108" s="930">
        <f t="shared" si="125"/>
        <v>5.9699620315060674E-3</v>
      </c>
      <c r="AR108" s="930">
        <f t="shared" si="126"/>
        <v>0.99403003796849398</v>
      </c>
      <c r="AS108" s="990">
        <f t="shared" si="143"/>
        <v>260988</v>
      </c>
      <c r="AT108" s="990">
        <f t="shared" si="143"/>
        <v>0</v>
      </c>
      <c r="AU108" s="1018">
        <f>AU63+AE63+O63</f>
        <v>2073.2666666666191</v>
      </c>
      <c r="AV108" s="1019"/>
      <c r="AW108" s="430"/>
      <c r="AX108" s="430"/>
      <c r="AY108" s="430"/>
      <c r="AZ108" s="430"/>
      <c r="BA108" s="430"/>
      <c r="BB108" s="876"/>
      <c r="BC108" s="430"/>
      <c r="BD108" s="430"/>
      <c r="BE108" s="430"/>
      <c r="BF108" s="430"/>
      <c r="BG108" s="430"/>
      <c r="BH108" s="876"/>
      <c r="BI108" s="430"/>
      <c r="BJ108" s="430"/>
      <c r="BK108" s="430"/>
      <c r="BL108" s="430"/>
      <c r="BM108" s="430"/>
      <c r="BN108" s="876"/>
      <c r="BO108" s="430"/>
      <c r="BP108" s="430"/>
      <c r="BQ108" s="430"/>
      <c r="BR108" s="430"/>
      <c r="BS108" s="430"/>
      <c r="BT108" s="876"/>
      <c r="BU108" s="430"/>
      <c r="BV108" s="430"/>
      <c r="BW108" s="430"/>
      <c r="BX108" s="430"/>
      <c r="BY108" s="430"/>
      <c r="BZ108" s="876"/>
      <c r="CA108" s="911"/>
      <c r="CB108" s="876">
        <v>8</v>
      </c>
      <c r="CC108" s="876" t="s">
        <v>153</v>
      </c>
      <c r="CD108" s="990">
        <f t="shared" si="144"/>
        <v>129172.48333333335</v>
      </c>
      <c r="CE108" s="990">
        <f t="shared" si="144"/>
        <v>109.9666666666667</v>
      </c>
      <c r="CF108" s="57">
        <f t="shared" si="144"/>
        <v>0</v>
      </c>
      <c r="CG108" s="106">
        <f t="shared" si="144"/>
        <v>266</v>
      </c>
      <c r="CH108" s="785">
        <f t="shared" si="144"/>
        <v>0</v>
      </c>
      <c r="CI108" s="1016">
        <f t="shared" si="144"/>
        <v>129016.45000000001</v>
      </c>
      <c r="CJ108" s="930">
        <f t="shared" si="129"/>
        <v>2.0575105128344952E-3</v>
      </c>
      <c r="CK108" s="930">
        <f t="shared" si="130"/>
        <v>0.99794248948716546</v>
      </c>
      <c r="CL108" s="990">
        <f>CL14+BW14+BH14</f>
        <v>129370.18666666668</v>
      </c>
      <c r="CM108" s="990"/>
      <c r="CN108" s="1018">
        <f>CN14+BY14+BJ14</f>
        <v>353.7366666666494</v>
      </c>
      <c r="CO108" s="1019"/>
      <c r="CP108" s="984"/>
      <c r="CQ108" s="430"/>
      <c r="CR108" s="430"/>
      <c r="CS108" s="430"/>
      <c r="CT108" s="876"/>
      <c r="CU108" s="430"/>
      <c r="CV108" s="430"/>
      <c r="CW108" s="430"/>
      <c r="CX108" s="430"/>
      <c r="CY108" s="430"/>
      <c r="CZ108" s="876"/>
      <c r="DA108" s="430"/>
      <c r="DB108" s="430"/>
      <c r="DC108" s="430"/>
      <c r="DD108" s="430"/>
      <c r="DE108" s="430"/>
      <c r="DF108" s="430"/>
      <c r="DG108" s="430"/>
      <c r="DH108" s="430"/>
      <c r="DI108" s="430"/>
      <c r="DJ108" s="430"/>
      <c r="DK108" s="430"/>
      <c r="DL108" s="430"/>
      <c r="DM108" s="430"/>
      <c r="DN108" s="430"/>
      <c r="DO108" s="430"/>
      <c r="DP108" s="430"/>
      <c r="DQ108" s="430"/>
      <c r="DR108" s="430"/>
      <c r="DS108" s="430"/>
      <c r="DT108" s="911"/>
      <c r="DU108" s="876">
        <v>8</v>
      </c>
      <c r="DV108" s="876" t="s">
        <v>153</v>
      </c>
      <c r="DW108" s="990">
        <f t="shared" si="145"/>
        <v>126681.60000000001</v>
      </c>
      <c r="DX108" s="990">
        <f t="shared" si="145"/>
        <v>0</v>
      </c>
      <c r="DY108" s="57">
        <f t="shared" si="145"/>
        <v>0</v>
      </c>
      <c r="DZ108" s="106">
        <f t="shared" si="145"/>
        <v>0</v>
      </c>
      <c r="EA108" s="785">
        <f t="shared" si="145"/>
        <v>0</v>
      </c>
      <c r="EB108" s="1016">
        <f t="shared" si="145"/>
        <v>126681.60000000001</v>
      </c>
      <c r="EC108" s="930">
        <f t="shared" si="132"/>
        <v>0</v>
      </c>
      <c r="ED108" s="930">
        <f t="shared" si="133"/>
        <v>1</v>
      </c>
      <c r="EE108" s="990">
        <f>EE14+DP14+DA14</f>
        <v>126893</v>
      </c>
      <c r="EF108" s="990"/>
      <c r="EG108" s="1018">
        <f>EG14+DR14+DC14</f>
        <v>211.3999999999869</v>
      </c>
      <c r="EH108" s="1019"/>
      <c r="EI108" s="430"/>
      <c r="EJ108" s="430"/>
      <c r="EK108" s="430"/>
      <c r="EL108" s="430"/>
      <c r="EM108" s="430"/>
      <c r="EN108" s="430"/>
      <c r="EO108" s="430"/>
      <c r="EP108" s="430"/>
      <c r="EQ108" s="430"/>
      <c r="ER108" s="430"/>
      <c r="ES108" s="430"/>
      <c r="ET108" s="430"/>
      <c r="EU108" s="430"/>
      <c r="EV108" s="430"/>
      <c r="EW108" s="430"/>
      <c r="EX108" s="430"/>
      <c r="EY108" s="430"/>
      <c r="EZ108" s="430"/>
      <c r="FA108" s="430"/>
      <c r="FB108" s="430"/>
      <c r="FC108" s="430"/>
      <c r="FD108" s="430"/>
      <c r="FE108" s="430"/>
      <c r="FF108" s="430"/>
      <c r="FG108" s="430"/>
      <c r="FH108" s="430"/>
      <c r="FI108" s="430"/>
      <c r="FJ108" s="430"/>
      <c r="FK108" s="430"/>
      <c r="FL108" s="430"/>
      <c r="FM108" s="911"/>
      <c r="FN108" s="876">
        <v>8</v>
      </c>
      <c r="FO108" s="876" t="s">
        <v>153</v>
      </c>
      <c r="FP108" s="990">
        <f t="shared" si="146"/>
        <v>128269.38333333332</v>
      </c>
      <c r="FQ108" s="990">
        <f t="shared" si="146"/>
        <v>0</v>
      </c>
      <c r="FR108" s="57">
        <f t="shared" si="146"/>
        <v>0</v>
      </c>
      <c r="FS108" s="106">
        <f t="shared" si="146"/>
        <v>0</v>
      </c>
      <c r="FT108" s="785">
        <f t="shared" si="146"/>
        <v>0</v>
      </c>
      <c r="FU108" s="1016">
        <f t="shared" si="146"/>
        <v>128269.38333333332</v>
      </c>
      <c r="FV108" s="930">
        <f t="shared" si="135"/>
        <v>0</v>
      </c>
      <c r="FW108" s="930">
        <f t="shared" si="136"/>
        <v>1</v>
      </c>
      <c r="FX108" s="990">
        <f>FX14+FI14+ET14</f>
        <v>128467.22099999999</v>
      </c>
      <c r="FY108" s="990"/>
      <c r="FZ108" s="1018">
        <f>FZ14+FK14+EV14</f>
        <v>197.83766666668089</v>
      </c>
      <c r="GA108" s="1019"/>
      <c r="GB108" s="984"/>
    </row>
    <row r="109" spans="1:184">
      <c r="A109" s="430"/>
      <c r="B109" s="430"/>
      <c r="C109" s="430"/>
      <c r="D109" s="430"/>
      <c r="E109" s="430"/>
      <c r="F109" s="430"/>
      <c r="G109" s="430"/>
      <c r="H109" s="430"/>
      <c r="I109" s="430"/>
      <c r="J109" s="430"/>
      <c r="K109" s="430"/>
      <c r="L109" s="876"/>
      <c r="M109" s="430"/>
      <c r="N109" s="430"/>
      <c r="O109" s="430"/>
      <c r="P109" s="430"/>
      <c r="Q109" s="430"/>
      <c r="R109" s="876"/>
      <c r="S109" s="430"/>
      <c r="T109" s="430"/>
      <c r="U109" s="430"/>
      <c r="V109" s="430"/>
      <c r="W109" s="430"/>
      <c r="X109" s="876"/>
      <c r="Y109" s="430"/>
      <c r="Z109" s="430"/>
      <c r="AA109" s="430"/>
      <c r="AB109" s="430"/>
      <c r="AC109" s="430"/>
      <c r="AD109" s="876"/>
      <c r="AE109" s="430"/>
      <c r="AF109" s="430"/>
      <c r="AG109" s="1047"/>
      <c r="AH109" s="910">
        <v>9</v>
      </c>
      <c r="AI109" s="876" t="s">
        <v>154</v>
      </c>
      <c r="AJ109" s="990">
        <f t="shared" si="142"/>
        <v>128397.91666666669</v>
      </c>
      <c r="AK109" s="990">
        <f t="shared" si="142"/>
        <v>244.7166666666667</v>
      </c>
      <c r="AL109" s="57">
        <f t="shared" si="142"/>
        <v>0</v>
      </c>
      <c r="AM109" s="106">
        <f t="shared" si="142"/>
        <v>1445</v>
      </c>
      <c r="AN109" s="785">
        <f t="shared" si="142"/>
        <v>0</v>
      </c>
      <c r="AO109" s="1016">
        <f t="shared" si="142"/>
        <v>127197.63333333336</v>
      </c>
      <c r="AP109" s="1017">
        <f t="shared" si="142"/>
        <v>85504</v>
      </c>
      <c r="AQ109" s="930">
        <f t="shared" si="125"/>
        <v>1.1232668070901326E-2</v>
      </c>
      <c r="AR109" s="930">
        <f t="shared" si="126"/>
        <v>0.98876733192909871</v>
      </c>
      <c r="AS109" s="990">
        <f t="shared" si="143"/>
        <v>260346</v>
      </c>
      <c r="AT109" s="990">
        <f t="shared" si="143"/>
        <v>0</v>
      </c>
      <c r="AU109" s="1018">
        <f>AU64+AE64+O64</f>
        <v>3690.0499999999665</v>
      </c>
      <c r="AV109" s="1019"/>
      <c r="AW109" s="430"/>
      <c r="AX109" s="430"/>
      <c r="AY109" s="430"/>
      <c r="AZ109" s="430"/>
      <c r="BA109" s="430"/>
      <c r="BB109" s="876"/>
      <c r="BC109" s="430"/>
      <c r="BD109" s="430"/>
      <c r="BE109" s="430"/>
      <c r="BF109" s="430"/>
      <c r="BG109" s="430"/>
      <c r="BH109" s="876"/>
      <c r="BI109" s="430"/>
      <c r="BJ109" s="430"/>
      <c r="BK109" s="430"/>
      <c r="BL109" s="430"/>
      <c r="BM109" s="430"/>
      <c r="BN109" s="876"/>
      <c r="BO109" s="430"/>
      <c r="BP109" s="430"/>
      <c r="BQ109" s="430"/>
      <c r="BR109" s="430"/>
      <c r="BS109" s="430"/>
      <c r="BT109" s="876"/>
      <c r="BU109" s="430"/>
      <c r="BV109" s="430"/>
      <c r="BW109" s="430"/>
      <c r="BX109" s="430"/>
      <c r="BY109" s="430"/>
      <c r="BZ109" s="876"/>
      <c r="CA109" s="911"/>
      <c r="CB109" s="912">
        <v>9</v>
      </c>
      <c r="CC109" s="876" t="s">
        <v>154</v>
      </c>
      <c r="CD109" s="990">
        <f t="shared" si="144"/>
        <v>128490.26666666669</v>
      </c>
      <c r="CE109" s="990">
        <f t="shared" si="144"/>
        <v>22.216666666666665</v>
      </c>
      <c r="CF109" s="57">
        <f t="shared" si="144"/>
        <v>0</v>
      </c>
      <c r="CG109" s="106">
        <f t="shared" si="144"/>
        <v>426</v>
      </c>
      <c r="CH109" s="785">
        <f t="shared" si="144"/>
        <v>0</v>
      </c>
      <c r="CI109" s="1016">
        <f t="shared" si="144"/>
        <v>128086.48333333335</v>
      </c>
      <c r="CJ109" s="930">
        <f t="shared" si="129"/>
        <v>3.3148530706939099E-3</v>
      </c>
      <c r="CK109" s="930">
        <f t="shared" si="130"/>
        <v>0.9966851469293061</v>
      </c>
      <c r="CL109" s="990">
        <f>CL15+BW15+BH15</f>
        <v>129064</v>
      </c>
      <c r="CM109" s="990"/>
      <c r="CN109" s="1018">
        <f>CN15+BY15+BJ15</f>
        <v>977.51666666664823</v>
      </c>
      <c r="CO109" s="1019"/>
      <c r="CP109" s="984"/>
      <c r="CQ109" s="430"/>
      <c r="CR109" s="430"/>
      <c r="CS109" s="430"/>
      <c r="CT109" s="876"/>
      <c r="CU109" s="430"/>
      <c r="CV109" s="430"/>
      <c r="CW109" s="430"/>
      <c r="CX109" s="430"/>
      <c r="CY109" s="430"/>
      <c r="CZ109" s="876"/>
      <c r="DA109" s="430"/>
      <c r="DB109" s="430"/>
      <c r="DC109" s="430"/>
      <c r="DD109" s="430"/>
      <c r="DE109" s="430"/>
      <c r="DF109" s="430"/>
      <c r="DG109" s="430"/>
      <c r="DH109" s="430"/>
      <c r="DI109" s="430"/>
      <c r="DJ109" s="430"/>
      <c r="DK109" s="430"/>
      <c r="DL109" s="430"/>
      <c r="DM109" s="430"/>
      <c r="DN109" s="430"/>
      <c r="DO109" s="430"/>
      <c r="DP109" s="430"/>
      <c r="DQ109" s="430"/>
      <c r="DR109" s="430"/>
      <c r="DS109" s="430"/>
      <c r="DT109" s="911"/>
      <c r="DU109" s="912">
        <v>9</v>
      </c>
      <c r="DV109" s="876" t="s">
        <v>154</v>
      </c>
      <c r="DW109" s="990">
        <f t="shared" si="145"/>
        <v>126006.73333333337</v>
      </c>
      <c r="DX109" s="990">
        <f t="shared" si="145"/>
        <v>0</v>
      </c>
      <c r="DY109" s="57">
        <f t="shared" si="145"/>
        <v>0</v>
      </c>
      <c r="DZ109" s="106">
        <f t="shared" si="145"/>
        <v>0</v>
      </c>
      <c r="EA109" s="785">
        <f t="shared" si="145"/>
        <v>0</v>
      </c>
      <c r="EB109" s="1016">
        <f t="shared" si="145"/>
        <v>126006.73333333337</v>
      </c>
      <c r="EC109" s="930">
        <f t="shared" si="132"/>
        <v>0</v>
      </c>
      <c r="ED109" s="930">
        <f t="shared" si="133"/>
        <v>1</v>
      </c>
      <c r="EE109" s="990">
        <f>EE15+DP15+DA15</f>
        <v>126586</v>
      </c>
      <c r="EF109" s="990"/>
      <c r="EG109" s="1018">
        <f>EG15+DR15+DC15</f>
        <v>579.26666666664096</v>
      </c>
      <c r="EH109" s="1019"/>
      <c r="EI109" s="430"/>
      <c r="EJ109" s="430"/>
      <c r="EK109" s="430"/>
      <c r="EL109" s="430"/>
      <c r="EM109" s="430"/>
      <c r="EN109" s="430"/>
      <c r="EO109" s="430"/>
      <c r="EP109" s="430"/>
      <c r="EQ109" s="430"/>
      <c r="ER109" s="430"/>
      <c r="ES109" s="430"/>
      <c r="ET109" s="430"/>
      <c r="EU109" s="430"/>
      <c r="EV109" s="430"/>
      <c r="EW109" s="430"/>
      <c r="EX109" s="430"/>
      <c r="EY109" s="430"/>
      <c r="EZ109" s="430"/>
      <c r="FA109" s="430"/>
      <c r="FB109" s="430"/>
      <c r="FC109" s="430"/>
      <c r="FD109" s="430"/>
      <c r="FE109" s="430"/>
      <c r="FF109" s="430"/>
      <c r="FG109" s="430"/>
      <c r="FH109" s="430"/>
      <c r="FI109" s="430"/>
      <c r="FJ109" s="430"/>
      <c r="FK109" s="430"/>
      <c r="FL109" s="430"/>
      <c r="FM109" s="911"/>
      <c r="FN109" s="912">
        <v>9</v>
      </c>
      <c r="FO109" s="876" t="s">
        <v>154</v>
      </c>
      <c r="FP109" s="990">
        <f t="shared" si="146"/>
        <v>127573.13333333333</v>
      </c>
      <c r="FQ109" s="990">
        <f t="shared" si="146"/>
        <v>0</v>
      </c>
      <c r="FR109" s="57">
        <f t="shared" si="146"/>
        <v>0</v>
      </c>
      <c r="FS109" s="106">
        <f t="shared" si="146"/>
        <v>0</v>
      </c>
      <c r="FT109" s="785">
        <f t="shared" si="146"/>
        <v>0</v>
      </c>
      <c r="FU109" s="1016">
        <f t="shared" si="146"/>
        <v>127573.13333333333</v>
      </c>
      <c r="FV109" s="930">
        <f t="shared" si="135"/>
        <v>0</v>
      </c>
      <c r="FW109" s="930">
        <f t="shared" si="136"/>
        <v>1</v>
      </c>
      <c r="FX109" s="990">
        <f>FX15+FI15+ET15</f>
        <v>128150.75</v>
      </c>
      <c r="FY109" s="990"/>
      <c r="FZ109" s="1018">
        <f>FZ15+FK15+EV15</f>
        <v>577.61666666665406</v>
      </c>
      <c r="GA109" s="1019"/>
      <c r="GB109" s="984"/>
    </row>
    <row r="110" spans="1:184">
      <c r="A110" s="430"/>
      <c r="B110" s="430"/>
      <c r="C110" s="430"/>
      <c r="D110" s="430"/>
      <c r="E110" s="430"/>
      <c r="F110" s="430"/>
      <c r="G110" s="430"/>
      <c r="H110" s="430"/>
      <c r="I110" s="430"/>
      <c r="J110" s="430"/>
      <c r="K110" s="430"/>
      <c r="L110" s="876"/>
      <c r="M110" s="430"/>
      <c r="N110" s="430"/>
      <c r="O110" s="430"/>
      <c r="P110" s="430"/>
      <c r="Q110" s="430"/>
      <c r="R110" s="876"/>
      <c r="S110" s="430"/>
      <c r="T110" s="430"/>
      <c r="U110" s="430"/>
      <c r="V110" s="430"/>
      <c r="W110" s="430"/>
      <c r="X110" s="876"/>
      <c r="Y110" s="430"/>
      <c r="Z110" s="430"/>
      <c r="AA110" s="430"/>
      <c r="AB110" s="430"/>
      <c r="AC110" s="430"/>
      <c r="AD110" s="876"/>
      <c r="AE110" s="430"/>
      <c r="AF110" s="430"/>
      <c r="AG110" s="1047"/>
      <c r="AH110" s="910">
        <v>10</v>
      </c>
      <c r="AI110" s="1" t="s">
        <v>155</v>
      </c>
      <c r="AJ110" s="22">
        <f t="shared" ref="AJ110:AP112" si="147">AJ17+T17+D17</f>
        <v>409911.23333333328</v>
      </c>
      <c r="AK110" s="22">
        <f t="shared" si="147"/>
        <v>509.0499999999999</v>
      </c>
      <c r="AL110" s="58">
        <f t="shared" si="147"/>
        <v>1088.75</v>
      </c>
      <c r="AM110" s="38">
        <f t="shared" si="147"/>
        <v>4006</v>
      </c>
      <c r="AN110" s="25">
        <f t="shared" si="147"/>
        <v>0</v>
      </c>
      <c r="AO110" s="21">
        <f t="shared" si="147"/>
        <v>407503.03333333333</v>
      </c>
      <c r="AP110" s="69">
        <f t="shared" si="147"/>
        <v>269707</v>
      </c>
      <c r="AQ110" s="33">
        <f t="shared" si="125"/>
        <v>9.7349017287672347E-3</v>
      </c>
      <c r="AR110" s="33">
        <f t="shared" si="126"/>
        <v>0.99026509827123277</v>
      </c>
      <c r="AS110" s="22">
        <f t="shared" ref="AS110:AT112" si="148">AS66+AC66+M66</f>
        <v>832845</v>
      </c>
      <c r="AT110" s="22">
        <f t="shared" si="148"/>
        <v>5088</v>
      </c>
      <c r="AU110" s="34">
        <f>SUM(AU111:AU112)</f>
        <v>10393.200000000012</v>
      </c>
      <c r="AV110" s="35">
        <f>AS66+AT66-AO66+AC66+AD66-Y66+M66+N66-I66</f>
        <v>15481.200000000012</v>
      </c>
      <c r="AW110" s="430"/>
      <c r="AX110" s="430"/>
      <c r="AY110" s="430"/>
      <c r="AZ110" s="430"/>
      <c r="BA110" s="430"/>
      <c r="BB110" s="876"/>
      <c r="BC110" s="430"/>
      <c r="BD110" s="430"/>
      <c r="BE110" s="430"/>
      <c r="BF110" s="430"/>
      <c r="BG110" s="430"/>
      <c r="BH110" s="876"/>
      <c r="BI110" s="430"/>
      <c r="BJ110" s="430"/>
      <c r="BK110" s="430"/>
      <c r="BL110" s="430"/>
      <c r="BM110" s="430"/>
      <c r="BN110" s="876"/>
      <c r="BO110" s="430"/>
      <c r="BP110" s="430"/>
      <c r="BQ110" s="430"/>
      <c r="BR110" s="430"/>
      <c r="BS110" s="430"/>
      <c r="BT110" s="876"/>
      <c r="BU110" s="430"/>
      <c r="BV110" s="430"/>
      <c r="BW110" s="430"/>
      <c r="BX110" s="430"/>
      <c r="BY110" s="430"/>
      <c r="BZ110" s="876"/>
      <c r="CA110" s="911"/>
      <c r="CB110" s="912">
        <v>10</v>
      </c>
      <c r="CC110" s="1" t="s">
        <v>155</v>
      </c>
      <c r="CD110" s="22">
        <f t="shared" ref="CD110:CI112" si="149">CD17+BO17+AZ17</f>
        <v>410605.1333333333</v>
      </c>
      <c r="CE110" s="22">
        <f t="shared" si="149"/>
        <v>46.166666666666671</v>
      </c>
      <c r="CF110" s="58">
        <f t="shared" si="149"/>
        <v>13.2</v>
      </c>
      <c r="CG110" s="38">
        <f t="shared" si="149"/>
        <v>1414</v>
      </c>
      <c r="CH110" s="25">
        <f t="shared" si="149"/>
        <v>0</v>
      </c>
      <c r="CI110" s="21">
        <f t="shared" si="149"/>
        <v>409250.5</v>
      </c>
      <c r="CJ110" s="33">
        <f t="shared" si="129"/>
        <v>3.4431999844155023E-3</v>
      </c>
      <c r="CK110" s="33">
        <f t="shared" si="130"/>
        <v>0.99655680001558444</v>
      </c>
      <c r="CL110" s="22">
        <f>CL17+BW17+BH17</f>
        <v>411835.6333333333</v>
      </c>
      <c r="CM110" s="22">
        <f>CM17+BX17+BI17</f>
        <v>2544</v>
      </c>
      <c r="CN110" s="34">
        <f>SUM(CN111:CN112)</f>
        <v>2585.1333333333532</v>
      </c>
      <c r="CO110" s="35">
        <f>CL17+CM17-CI17+BW17+BX17-BT17+BH17+BI17-BE17</f>
        <v>5129.1333333333314</v>
      </c>
      <c r="CP110" s="984"/>
      <c r="CQ110" s="430"/>
      <c r="CR110" s="430"/>
      <c r="CS110" s="430"/>
      <c r="CT110" s="876"/>
      <c r="CU110" s="430"/>
      <c r="CV110" s="430"/>
      <c r="CW110" s="430"/>
      <c r="CX110" s="430"/>
      <c r="CY110" s="430"/>
      <c r="CZ110" s="876"/>
      <c r="DA110" s="430"/>
      <c r="DB110" s="430"/>
      <c r="DC110" s="430"/>
      <c r="DD110" s="430"/>
      <c r="DE110" s="430"/>
      <c r="DF110" s="430"/>
      <c r="DG110" s="430"/>
      <c r="DH110" s="430"/>
      <c r="DI110" s="430"/>
      <c r="DJ110" s="430"/>
      <c r="DK110" s="430"/>
      <c r="DL110" s="430"/>
      <c r="DM110" s="430"/>
      <c r="DN110" s="430"/>
      <c r="DO110" s="430"/>
      <c r="DP110" s="430"/>
      <c r="DQ110" s="430"/>
      <c r="DR110" s="430"/>
      <c r="DS110" s="430"/>
      <c r="DT110" s="911"/>
      <c r="DU110" s="912">
        <v>10</v>
      </c>
      <c r="DV110" s="1" t="s">
        <v>155</v>
      </c>
      <c r="DW110" s="22">
        <f t="shared" ref="DW110:EB112" si="150">DW17+DH17+CS17</f>
        <v>402715.96666666667</v>
      </c>
      <c r="DX110" s="22">
        <f t="shared" si="150"/>
        <v>0</v>
      </c>
      <c r="DY110" s="58">
        <f t="shared" si="150"/>
        <v>0</v>
      </c>
      <c r="DZ110" s="38">
        <f t="shared" si="150"/>
        <v>0</v>
      </c>
      <c r="EA110" s="25">
        <f t="shared" si="150"/>
        <v>0</v>
      </c>
      <c r="EB110" s="21">
        <f t="shared" si="150"/>
        <v>402715.96666666667</v>
      </c>
      <c r="EC110" s="33">
        <f t="shared" si="132"/>
        <v>0</v>
      </c>
      <c r="ED110" s="33">
        <f t="shared" si="133"/>
        <v>1</v>
      </c>
      <c r="EE110" s="22">
        <f>EE17+DP17+DA17</f>
        <v>404021.89999999997</v>
      </c>
      <c r="EF110" s="22">
        <f>EF17+DQ17+DB17</f>
        <v>2544</v>
      </c>
      <c r="EG110" s="34">
        <f>SUM(EG111:EG112)</f>
        <v>1305.9333333333198</v>
      </c>
      <c r="EH110" s="35">
        <f>EE17+EF17-EB17+DP17+DQ17-DM17+DA17+DB17-CX17</f>
        <v>3849.9333333333198</v>
      </c>
      <c r="EI110" s="430"/>
      <c r="EJ110" s="430"/>
      <c r="EK110" s="430"/>
      <c r="EL110" s="430"/>
      <c r="EM110" s="430"/>
      <c r="EN110" s="430"/>
      <c r="EO110" s="430"/>
      <c r="EP110" s="430"/>
      <c r="EQ110" s="430"/>
      <c r="ER110" s="430"/>
      <c r="ES110" s="430"/>
      <c r="ET110" s="430"/>
      <c r="EU110" s="430"/>
      <c r="EV110" s="430"/>
      <c r="EW110" s="430"/>
      <c r="EX110" s="430"/>
      <c r="EY110" s="430"/>
      <c r="EZ110" s="430"/>
      <c r="FA110" s="430"/>
      <c r="FB110" s="430"/>
      <c r="FC110" s="430"/>
      <c r="FD110" s="430"/>
      <c r="FE110" s="430"/>
      <c r="FF110" s="430"/>
      <c r="FG110" s="430"/>
      <c r="FH110" s="430"/>
      <c r="FI110" s="430"/>
      <c r="FJ110" s="430"/>
      <c r="FK110" s="430"/>
      <c r="FL110" s="430"/>
      <c r="FM110" s="911"/>
      <c r="FN110" s="912">
        <v>10</v>
      </c>
      <c r="FO110" s="1" t="s">
        <v>155</v>
      </c>
      <c r="FP110" s="22">
        <f t="shared" ref="FP110:FU112" si="151">FP17+FA17+EL17</f>
        <v>407885.96666666667</v>
      </c>
      <c r="FQ110" s="22">
        <f t="shared" si="151"/>
        <v>0</v>
      </c>
      <c r="FR110" s="58">
        <f t="shared" si="151"/>
        <v>0</v>
      </c>
      <c r="FS110" s="38">
        <f t="shared" si="151"/>
        <v>0</v>
      </c>
      <c r="FT110" s="25">
        <f t="shared" si="151"/>
        <v>0</v>
      </c>
      <c r="FU110" s="21">
        <f t="shared" si="151"/>
        <v>407885.96666666667</v>
      </c>
      <c r="FV110" s="33">
        <f t="shared" si="135"/>
        <v>0</v>
      </c>
      <c r="FW110" s="33">
        <f t="shared" si="136"/>
        <v>1</v>
      </c>
      <c r="FX110" s="22">
        <f>FX17+FI17+ET17</f>
        <v>409131.86666666664</v>
      </c>
      <c r="FY110" s="22">
        <f>FY17+FJ17+EU17</f>
        <v>2544</v>
      </c>
      <c r="FZ110" s="34">
        <f>SUM(FZ111:FZ112)</f>
        <v>1245.8999999999869</v>
      </c>
      <c r="GA110" s="35">
        <f>FX17+FY17-FU17+FI17+FJ17-FF17+ET17+EU17-EQ17</f>
        <v>3789.899999999936</v>
      </c>
      <c r="GB110" s="984"/>
    </row>
    <row r="111" spans="1:184">
      <c r="A111" s="430"/>
      <c r="B111" s="430"/>
      <c r="C111" s="430"/>
      <c r="D111" s="430"/>
      <c r="E111" s="430"/>
      <c r="F111" s="430"/>
      <c r="G111" s="430"/>
      <c r="H111" s="430"/>
      <c r="I111" s="430"/>
      <c r="J111" s="430"/>
      <c r="K111" s="430"/>
      <c r="L111" s="876"/>
      <c r="M111" s="430"/>
      <c r="N111" s="430"/>
      <c r="O111" s="430"/>
      <c r="P111" s="430"/>
      <c r="Q111" s="430"/>
      <c r="R111" s="876"/>
      <c r="S111" s="430"/>
      <c r="T111" s="430"/>
      <c r="U111" s="430"/>
      <c r="V111" s="430"/>
      <c r="W111" s="430"/>
      <c r="X111" s="876"/>
      <c r="Y111" s="430"/>
      <c r="Z111" s="430"/>
      <c r="AA111" s="430"/>
      <c r="AB111" s="430"/>
      <c r="AC111" s="430"/>
      <c r="AD111" s="876"/>
      <c r="AE111" s="430"/>
      <c r="AF111" s="430"/>
      <c r="AG111" s="1047"/>
      <c r="AH111" s="910">
        <v>11</v>
      </c>
      <c r="AI111" s="876" t="s">
        <v>156</v>
      </c>
      <c r="AJ111" s="990">
        <f t="shared" si="147"/>
        <v>182472.11666666667</v>
      </c>
      <c r="AK111" s="990">
        <f t="shared" si="147"/>
        <v>270.95</v>
      </c>
      <c r="AL111" s="59">
        <f t="shared" si="147"/>
        <v>327.95</v>
      </c>
      <c r="AM111" s="106">
        <f t="shared" si="147"/>
        <v>1396</v>
      </c>
      <c r="AN111" s="785">
        <f t="shared" si="147"/>
        <v>0</v>
      </c>
      <c r="AO111" s="1016">
        <f t="shared" si="147"/>
        <v>181675.01666666666</v>
      </c>
      <c r="AP111" s="1017">
        <f t="shared" si="147"/>
        <v>118806</v>
      </c>
      <c r="AQ111" s="930">
        <f t="shared" si="125"/>
        <v>7.6254560957719399E-3</v>
      </c>
      <c r="AR111" s="930">
        <f t="shared" si="126"/>
        <v>0.99237454390422808</v>
      </c>
      <c r="AS111" s="990">
        <f t="shared" si="148"/>
        <v>370802</v>
      </c>
      <c r="AT111" s="990">
        <f t="shared" si="148"/>
        <v>0</v>
      </c>
      <c r="AU111" s="1018">
        <f>AU67+AE67+O67</f>
        <v>4263.3499999999913</v>
      </c>
      <c r="AV111" s="1019"/>
      <c r="AW111" s="430"/>
      <c r="AX111" s="430"/>
      <c r="AY111" s="430"/>
      <c r="AZ111" s="430"/>
      <c r="BA111" s="430"/>
      <c r="BB111" s="876"/>
      <c r="BC111" s="430"/>
      <c r="BD111" s="430"/>
      <c r="BE111" s="430"/>
      <c r="BF111" s="430"/>
      <c r="BG111" s="430"/>
      <c r="BH111" s="876"/>
      <c r="BI111" s="430"/>
      <c r="BJ111" s="430"/>
      <c r="BK111" s="430"/>
      <c r="BL111" s="430"/>
      <c r="BM111" s="430"/>
      <c r="BN111" s="876"/>
      <c r="BO111" s="430"/>
      <c r="BP111" s="430"/>
      <c r="BQ111" s="430"/>
      <c r="BR111" s="430"/>
      <c r="BS111" s="430"/>
      <c r="BT111" s="876"/>
      <c r="BU111" s="430"/>
      <c r="BV111" s="430"/>
      <c r="BW111" s="430"/>
      <c r="BX111" s="430"/>
      <c r="BY111" s="430"/>
      <c r="BZ111" s="876"/>
      <c r="CA111" s="911"/>
      <c r="CB111" s="912">
        <v>11</v>
      </c>
      <c r="CC111" s="876" t="s">
        <v>156</v>
      </c>
      <c r="CD111" s="990">
        <f t="shared" si="149"/>
        <v>182982.25</v>
      </c>
      <c r="CE111" s="990">
        <f t="shared" si="149"/>
        <v>13</v>
      </c>
      <c r="CF111" s="59">
        <f t="shared" si="149"/>
        <v>7.5</v>
      </c>
      <c r="CG111" s="106">
        <f t="shared" si="149"/>
        <v>503</v>
      </c>
      <c r="CH111" s="785">
        <f t="shared" si="149"/>
        <v>0</v>
      </c>
      <c r="CI111" s="1016">
        <f t="shared" si="149"/>
        <v>182499.75</v>
      </c>
      <c r="CJ111" s="930">
        <f t="shared" si="129"/>
        <v>2.7485925757946262E-3</v>
      </c>
      <c r="CK111" s="930">
        <f t="shared" si="130"/>
        <v>0.99725140742420537</v>
      </c>
      <c r="CL111" s="990">
        <f>CL18+BW18+BH18</f>
        <v>183363.96666666667</v>
      </c>
      <c r="CM111" s="990"/>
      <c r="CN111" s="1018">
        <f>CN18+BY18+BJ18</f>
        <v>864.21666666666715</v>
      </c>
      <c r="CO111" s="1019"/>
      <c r="CP111" s="984"/>
      <c r="CQ111" s="430"/>
      <c r="CR111" s="430"/>
      <c r="CS111" s="430"/>
      <c r="CT111" s="876"/>
      <c r="CU111" s="430"/>
      <c r="CV111" s="430"/>
      <c r="CW111" s="430"/>
      <c r="CX111" s="430"/>
      <c r="CY111" s="430"/>
      <c r="CZ111" s="876"/>
      <c r="DA111" s="430"/>
      <c r="DB111" s="430"/>
      <c r="DC111" s="430"/>
      <c r="DD111" s="430"/>
      <c r="DE111" s="430"/>
      <c r="DF111" s="430"/>
      <c r="DG111" s="430"/>
      <c r="DH111" s="430"/>
      <c r="DI111" s="430"/>
      <c r="DJ111" s="430"/>
      <c r="DK111" s="430"/>
      <c r="DL111" s="430"/>
      <c r="DM111" s="430"/>
      <c r="DN111" s="430"/>
      <c r="DO111" s="430"/>
      <c r="DP111" s="430"/>
      <c r="DQ111" s="430"/>
      <c r="DR111" s="430"/>
      <c r="DS111" s="430"/>
      <c r="DT111" s="911"/>
      <c r="DU111" s="912">
        <v>11</v>
      </c>
      <c r="DV111" s="876" t="s">
        <v>156</v>
      </c>
      <c r="DW111" s="990">
        <f t="shared" si="150"/>
        <v>179471.20000000004</v>
      </c>
      <c r="DX111" s="990">
        <f t="shared" si="150"/>
        <v>0</v>
      </c>
      <c r="DY111" s="59">
        <f t="shared" si="150"/>
        <v>0</v>
      </c>
      <c r="DZ111" s="106">
        <f t="shared" si="150"/>
        <v>0</v>
      </c>
      <c r="EA111" s="785">
        <f t="shared" si="150"/>
        <v>0</v>
      </c>
      <c r="EB111" s="1016">
        <f t="shared" si="150"/>
        <v>179471.20000000004</v>
      </c>
      <c r="EC111" s="930">
        <f t="shared" si="132"/>
        <v>0</v>
      </c>
      <c r="ED111" s="930">
        <f t="shared" si="133"/>
        <v>1</v>
      </c>
      <c r="EE111" s="990">
        <f>EE18+DP18+DA18</f>
        <v>179917.90000000002</v>
      </c>
      <c r="EF111" s="990"/>
      <c r="EG111" s="1018">
        <f>EG18+DR18+DC18</f>
        <v>446.69999999996799</v>
      </c>
      <c r="EH111" s="1019"/>
      <c r="EI111" s="430"/>
      <c r="EJ111" s="430"/>
      <c r="EK111" s="430"/>
      <c r="EL111" s="430"/>
      <c r="EM111" s="430"/>
      <c r="EN111" s="430"/>
      <c r="EO111" s="430"/>
      <c r="EP111" s="430"/>
      <c r="EQ111" s="430"/>
      <c r="ER111" s="430"/>
      <c r="ES111" s="430"/>
      <c r="ET111" s="430"/>
      <c r="EU111" s="430"/>
      <c r="EV111" s="430"/>
      <c r="EW111" s="430"/>
      <c r="EX111" s="430"/>
      <c r="EY111" s="430"/>
      <c r="EZ111" s="430"/>
      <c r="FA111" s="430"/>
      <c r="FB111" s="430"/>
      <c r="FC111" s="430"/>
      <c r="FD111" s="430"/>
      <c r="FE111" s="430"/>
      <c r="FF111" s="430"/>
      <c r="FG111" s="430"/>
      <c r="FH111" s="430"/>
      <c r="FI111" s="430"/>
      <c r="FJ111" s="430"/>
      <c r="FK111" s="430"/>
      <c r="FL111" s="430"/>
      <c r="FM111" s="911"/>
      <c r="FN111" s="912">
        <v>11</v>
      </c>
      <c r="FO111" s="876" t="s">
        <v>156</v>
      </c>
      <c r="FP111" s="990">
        <f t="shared" si="151"/>
        <v>181811.1166666667</v>
      </c>
      <c r="FQ111" s="990">
        <f t="shared" si="151"/>
        <v>0</v>
      </c>
      <c r="FR111" s="59">
        <f t="shared" si="151"/>
        <v>0</v>
      </c>
      <c r="FS111" s="106">
        <f t="shared" si="151"/>
        <v>0</v>
      </c>
      <c r="FT111" s="785">
        <f t="shared" si="151"/>
        <v>0</v>
      </c>
      <c r="FU111" s="1016">
        <f t="shared" si="151"/>
        <v>181811.1166666667</v>
      </c>
      <c r="FV111" s="930">
        <f t="shared" si="135"/>
        <v>0</v>
      </c>
      <c r="FW111" s="930">
        <f t="shared" si="136"/>
        <v>1</v>
      </c>
      <c r="FX111" s="990">
        <f>FX18+FI18+ET18</f>
        <v>182207.53333333333</v>
      </c>
      <c r="FY111" s="990"/>
      <c r="FZ111" s="1018">
        <f>FZ18+FK18+EV18</f>
        <v>396.41666666662059</v>
      </c>
      <c r="GA111" s="1019"/>
      <c r="GB111" s="984"/>
    </row>
    <row r="112" spans="1:184">
      <c r="A112" s="430"/>
      <c r="B112" s="430"/>
      <c r="C112" s="430"/>
      <c r="D112" s="430"/>
      <c r="E112" s="430"/>
      <c r="F112" s="430"/>
      <c r="G112" s="430"/>
      <c r="H112" s="430"/>
      <c r="I112" s="430"/>
      <c r="J112" s="430"/>
      <c r="K112" s="430"/>
      <c r="L112" s="876"/>
      <c r="M112" s="430"/>
      <c r="N112" s="430"/>
      <c r="O112" s="430"/>
      <c r="P112" s="430"/>
      <c r="Q112" s="430"/>
      <c r="R112" s="876"/>
      <c r="S112" s="430"/>
      <c r="T112" s="430"/>
      <c r="U112" s="430"/>
      <c r="V112" s="430"/>
      <c r="W112" s="430"/>
      <c r="X112" s="876"/>
      <c r="Y112" s="430"/>
      <c r="Z112" s="430"/>
      <c r="AA112" s="430"/>
      <c r="AB112" s="430"/>
      <c r="AC112" s="430"/>
      <c r="AD112" s="876"/>
      <c r="AE112" s="430"/>
      <c r="AF112" s="430"/>
      <c r="AG112" s="1047"/>
      <c r="AH112" s="910">
        <v>12</v>
      </c>
      <c r="AI112" s="876" t="s">
        <v>157</v>
      </c>
      <c r="AJ112" s="990">
        <f t="shared" si="147"/>
        <v>227439.11666666667</v>
      </c>
      <c r="AK112" s="990">
        <f t="shared" si="147"/>
        <v>238.09999999999991</v>
      </c>
      <c r="AL112" s="59">
        <f t="shared" si="147"/>
        <v>760.8</v>
      </c>
      <c r="AM112" s="106">
        <f t="shared" si="147"/>
        <v>2610</v>
      </c>
      <c r="AN112" s="785">
        <f t="shared" si="147"/>
        <v>0</v>
      </c>
      <c r="AO112" s="1016">
        <f t="shared" si="147"/>
        <v>225828.01666666666</v>
      </c>
      <c r="AP112" s="1017">
        <f t="shared" si="147"/>
        <v>150901</v>
      </c>
      <c r="AQ112" s="930">
        <f t="shared" si="125"/>
        <v>1.1425418755094835E-2</v>
      </c>
      <c r="AR112" s="930">
        <f t="shared" si="126"/>
        <v>0.98857458124490516</v>
      </c>
      <c r="AS112" s="990">
        <f t="shared" si="148"/>
        <v>462043</v>
      </c>
      <c r="AT112" s="990">
        <f t="shared" si="148"/>
        <v>0</v>
      </c>
      <c r="AU112" s="1018">
        <f>AU68+AE68+O68</f>
        <v>6129.8500000000204</v>
      </c>
      <c r="AV112" s="1019"/>
      <c r="AW112" s="430"/>
      <c r="AX112" s="430"/>
      <c r="AY112" s="430"/>
      <c r="AZ112" s="430"/>
      <c r="BA112" s="430"/>
      <c r="BB112" s="876"/>
      <c r="BC112" s="430"/>
      <c r="BD112" s="430"/>
      <c r="BE112" s="430"/>
      <c r="BF112" s="430"/>
      <c r="BG112" s="430"/>
      <c r="BH112" s="876"/>
      <c r="BI112" s="430"/>
      <c r="BJ112" s="430"/>
      <c r="BK112" s="430"/>
      <c r="BL112" s="430"/>
      <c r="BM112" s="430"/>
      <c r="BN112" s="876"/>
      <c r="BO112" s="430"/>
      <c r="BP112" s="430"/>
      <c r="BQ112" s="430"/>
      <c r="BR112" s="430"/>
      <c r="BS112" s="430"/>
      <c r="BT112" s="876"/>
      <c r="BU112" s="430"/>
      <c r="BV112" s="430"/>
      <c r="BW112" s="430"/>
      <c r="BX112" s="430"/>
      <c r="BY112" s="430"/>
      <c r="BZ112" s="876"/>
      <c r="CA112" s="911"/>
      <c r="CB112" s="912">
        <v>12</v>
      </c>
      <c r="CC112" s="876" t="s">
        <v>157</v>
      </c>
      <c r="CD112" s="990">
        <f t="shared" si="149"/>
        <v>227622.8833333333</v>
      </c>
      <c r="CE112" s="990">
        <f t="shared" si="149"/>
        <v>33.166666666666671</v>
      </c>
      <c r="CF112" s="59">
        <f t="shared" si="149"/>
        <v>5.7</v>
      </c>
      <c r="CG112" s="106">
        <f t="shared" si="149"/>
        <v>911</v>
      </c>
      <c r="CH112" s="785">
        <f t="shared" si="149"/>
        <v>0</v>
      </c>
      <c r="CI112" s="1016">
        <f t="shared" si="149"/>
        <v>226750.74999999997</v>
      </c>
      <c r="CJ112" s="930">
        <f t="shared" si="129"/>
        <v>4.0015505459305312E-3</v>
      </c>
      <c r="CK112" s="930">
        <f t="shared" si="130"/>
        <v>0.99599844945406946</v>
      </c>
      <c r="CL112" s="990">
        <f>CL19+BW19+BH19</f>
        <v>228471.66666666669</v>
      </c>
      <c r="CM112" s="990"/>
      <c r="CN112" s="1018">
        <f>CN19+BY19+BJ19</f>
        <v>1720.9166666666861</v>
      </c>
      <c r="CO112" s="1019"/>
      <c r="CP112" s="984"/>
      <c r="CQ112" s="430"/>
      <c r="CR112" s="430"/>
      <c r="CS112" s="430"/>
      <c r="CT112" s="876"/>
      <c r="CU112" s="430"/>
      <c r="CV112" s="430"/>
      <c r="CW112" s="430"/>
      <c r="CX112" s="430"/>
      <c r="CY112" s="430"/>
      <c r="CZ112" s="876"/>
      <c r="DA112" s="430"/>
      <c r="DB112" s="430"/>
      <c r="DC112" s="430"/>
      <c r="DD112" s="430"/>
      <c r="DE112" s="430"/>
      <c r="DF112" s="430"/>
      <c r="DG112" s="430"/>
      <c r="DH112" s="430"/>
      <c r="DI112" s="430"/>
      <c r="DJ112" s="430"/>
      <c r="DK112" s="430"/>
      <c r="DL112" s="430"/>
      <c r="DM112" s="430"/>
      <c r="DN112" s="430"/>
      <c r="DO112" s="430"/>
      <c r="DP112" s="430"/>
      <c r="DQ112" s="430"/>
      <c r="DR112" s="430"/>
      <c r="DS112" s="430"/>
      <c r="DT112" s="911"/>
      <c r="DU112" s="912">
        <v>12</v>
      </c>
      <c r="DV112" s="876" t="s">
        <v>157</v>
      </c>
      <c r="DW112" s="990">
        <f t="shared" si="150"/>
        <v>223244.76666666666</v>
      </c>
      <c r="DX112" s="990">
        <f t="shared" si="150"/>
        <v>0</v>
      </c>
      <c r="DY112" s="59">
        <f t="shared" si="150"/>
        <v>0</v>
      </c>
      <c r="DZ112" s="106">
        <f t="shared" si="150"/>
        <v>0</v>
      </c>
      <c r="EA112" s="785">
        <f t="shared" si="150"/>
        <v>0</v>
      </c>
      <c r="EB112" s="1016">
        <f t="shared" si="150"/>
        <v>223244.76666666666</v>
      </c>
      <c r="EC112" s="930">
        <f t="shared" si="132"/>
        <v>0</v>
      </c>
      <c r="ED112" s="930">
        <f t="shared" si="133"/>
        <v>1</v>
      </c>
      <c r="EE112" s="990">
        <f>EE19+DP19+DA19</f>
        <v>224104.00000000003</v>
      </c>
      <c r="EF112" s="990"/>
      <c r="EG112" s="1018">
        <f>EG19+DR19+DC19</f>
        <v>859.23333333335177</v>
      </c>
      <c r="EH112" s="1019"/>
      <c r="EI112" s="430"/>
      <c r="EJ112" s="430"/>
      <c r="EK112" s="430"/>
      <c r="EL112" s="430"/>
      <c r="EM112" s="430"/>
      <c r="EN112" s="430"/>
      <c r="EO112" s="430"/>
      <c r="EP112" s="430"/>
      <c r="EQ112" s="430"/>
      <c r="ER112" s="430"/>
      <c r="ES112" s="430"/>
      <c r="ET112" s="430"/>
      <c r="EU112" s="430"/>
      <c r="EV112" s="430"/>
      <c r="EW112" s="430"/>
      <c r="EX112" s="430"/>
      <c r="EY112" s="430"/>
      <c r="EZ112" s="430"/>
      <c r="FA112" s="430"/>
      <c r="FB112" s="430"/>
      <c r="FC112" s="430"/>
      <c r="FD112" s="430"/>
      <c r="FE112" s="430"/>
      <c r="FF112" s="430"/>
      <c r="FG112" s="430"/>
      <c r="FH112" s="430"/>
      <c r="FI112" s="430"/>
      <c r="FJ112" s="430"/>
      <c r="FK112" s="430"/>
      <c r="FL112" s="430"/>
      <c r="FM112" s="911"/>
      <c r="FN112" s="912">
        <v>12</v>
      </c>
      <c r="FO112" s="876" t="s">
        <v>157</v>
      </c>
      <c r="FP112" s="990">
        <f t="shared" si="151"/>
        <v>226074.84999999998</v>
      </c>
      <c r="FQ112" s="990">
        <f t="shared" si="151"/>
        <v>0</v>
      </c>
      <c r="FR112" s="59">
        <f t="shared" si="151"/>
        <v>0</v>
      </c>
      <c r="FS112" s="106">
        <f t="shared" si="151"/>
        <v>0</v>
      </c>
      <c r="FT112" s="785">
        <f t="shared" si="151"/>
        <v>0</v>
      </c>
      <c r="FU112" s="1016">
        <f t="shared" si="151"/>
        <v>226074.84999999998</v>
      </c>
      <c r="FV112" s="930">
        <f t="shared" si="135"/>
        <v>0</v>
      </c>
      <c r="FW112" s="930">
        <f t="shared" si="136"/>
        <v>1</v>
      </c>
      <c r="FX112" s="990">
        <f>FX19+FI19+ET19</f>
        <v>226924.33333333334</v>
      </c>
      <c r="FY112" s="990"/>
      <c r="FZ112" s="1018">
        <f>FZ19+FK19+EV19</f>
        <v>849.48333333336632</v>
      </c>
      <c r="GA112" s="1019"/>
      <c r="GB112" s="984"/>
    </row>
    <row r="113" spans="33:184">
      <c r="AG113" s="1047"/>
      <c r="AH113" s="910">
        <v>13</v>
      </c>
      <c r="AI113" s="1" t="s">
        <v>158</v>
      </c>
      <c r="AJ113" s="22">
        <f t="shared" ref="AJ113:AP116" si="152">AJ21+T21+D21</f>
        <v>422917.7333333334</v>
      </c>
      <c r="AK113" s="22">
        <f t="shared" si="152"/>
        <v>5134.9999999999991</v>
      </c>
      <c r="AL113" s="56">
        <f t="shared" si="152"/>
        <v>347.01666666666665</v>
      </c>
      <c r="AM113" s="38">
        <f t="shared" si="152"/>
        <v>3998</v>
      </c>
      <c r="AN113" s="25">
        <f t="shared" si="152"/>
        <v>0</v>
      </c>
      <c r="AO113" s="21">
        <f t="shared" si="152"/>
        <v>424401.75</v>
      </c>
      <c r="AP113" s="69">
        <f t="shared" si="152"/>
        <v>279500</v>
      </c>
      <c r="AQ113" s="33">
        <f t="shared" si="125"/>
        <v>9.3324050725986634E-3</v>
      </c>
      <c r="AR113" s="33">
        <f t="shared" si="126"/>
        <v>0.99066759492740131</v>
      </c>
      <c r="AS113" s="22">
        <f t="shared" ref="AS113:AT116" si="153">AS70+AC70+M70</f>
        <v>858609</v>
      </c>
      <c r="AT113" s="22">
        <f t="shared" si="153"/>
        <v>7632</v>
      </c>
      <c r="AU113" s="34">
        <f>SUM(AU114:AU116)</f>
        <v>1821.3666666666559</v>
      </c>
      <c r="AV113" s="35">
        <f>AS70+AT70-AO70+AC70+AD70-Y70+M70+N70-I70</f>
        <v>9453.3666666666395</v>
      </c>
      <c r="AW113" s="430"/>
      <c r="AX113" s="430"/>
      <c r="AY113" s="430"/>
      <c r="AZ113" s="430"/>
      <c r="BA113" s="430"/>
      <c r="BB113" s="876"/>
      <c r="BC113" s="430"/>
      <c r="BD113" s="430"/>
      <c r="BE113" s="430"/>
      <c r="BF113" s="430"/>
      <c r="BG113" s="430"/>
      <c r="BH113" s="876"/>
      <c r="BI113" s="430"/>
      <c r="BJ113" s="430"/>
      <c r="BK113" s="430"/>
      <c r="BL113" s="430"/>
      <c r="BM113" s="430"/>
      <c r="BN113" s="876"/>
      <c r="BO113" s="430"/>
      <c r="BP113" s="430"/>
      <c r="BQ113" s="430"/>
      <c r="BR113" s="430"/>
      <c r="BS113" s="430"/>
      <c r="BT113" s="876"/>
      <c r="BU113" s="430"/>
      <c r="BV113" s="430"/>
      <c r="BW113" s="430"/>
      <c r="BX113" s="430"/>
      <c r="BY113" s="430"/>
      <c r="BZ113" s="876"/>
      <c r="CA113" s="911"/>
      <c r="CB113" s="912">
        <v>13</v>
      </c>
      <c r="CC113" s="1" t="s">
        <v>158</v>
      </c>
      <c r="CD113" s="22">
        <f t="shared" ref="CD113:CI116" si="154">CD21+BO21+AZ21</f>
        <v>423493.6333333333</v>
      </c>
      <c r="CE113" s="22">
        <f t="shared" si="154"/>
        <v>403.21666666666687</v>
      </c>
      <c r="CF113" s="56">
        <f t="shared" si="154"/>
        <v>261.21666666666664</v>
      </c>
      <c r="CG113" s="38">
        <f t="shared" si="154"/>
        <v>1266</v>
      </c>
      <c r="CH113" s="25">
        <f t="shared" si="154"/>
        <v>0</v>
      </c>
      <c r="CI113" s="21">
        <f t="shared" si="154"/>
        <v>422892.06666666665</v>
      </c>
      <c r="CJ113" s="33">
        <f t="shared" si="129"/>
        <v>2.984736350646638E-3</v>
      </c>
      <c r="CK113" s="33">
        <f t="shared" si="130"/>
        <v>0.99701526364935333</v>
      </c>
      <c r="CL113" s="22">
        <f>CL21+BW21+BH21</f>
        <v>425577.3</v>
      </c>
      <c r="CM113" s="22">
        <f>CM21+BX21+BI21</f>
        <v>3816</v>
      </c>
      <c r="CN113" s="34">
        <f>SUM(CN114:CN116)</f>
        <v>2685.2333333333136</v>
      </c>
      <c r="CO113" s="35">
        <f>CL21+CM21-CI21+BW21+BX21-BT21+BH21+BI21-BE21</f>
        <v>6501.2333333333081</v>
      </c>
      <c r="CP113" s="984"/>
      <c r="CQ113" s="430"/>
      <c r="CR113" s="430"/>
      <c r="CS113" s="430"/>
      <c r="CT113" s="876"/>
      <c r="CU113" s="430"/>
      <c r="CV113" s="430"/>
      <c r="CW113" s="430"/>
      <c r="CX113" s="430"/>
      <c r="CY113" s="430"/>
      <c r="CZ113" s="876"/>
      <c r="DA113" s="430"/>
      <c r="DB113" s="430"/>
      <c r="DC113" s="430"/>
      <c r="DD113" s="430"/>
      <c r="DE113" s="430"/>
      <c r="DF113" s="430"/>
      <c r="DG113" s="430"/>
      <c r="DH113" s="430"/>
      <c r="DI113" s="430"/>
      <c r="DJ113" s="430"/>
      <c r="DK113" s="430"/>
      <c r="DL113" s="430"/>
      <c r="DM113" s="430"/>
      <c r="DN113" s="430"/>
      <c r="DO113" s="430"/>
      <c r="DP113" s="430"/>
      <c r="DQ113" s="430"/>
      <c r="DR113" s="430"/>
      <c r="DS113" s="430"/>
      <c r="DT113" s="911"/>
      <c r="DU113" s="912">
        <v>13</v>
      </c>
      <c r="DV113" s="1" t="s">
        <v>158</v>
      </c>
      <c r="DW113" s="22">
        <f t="shared" ref="DW113:EB116" si="155">DW21+DH21+CS21</f>
        <v>415317.93333333335</v>
      </c>
      <c r="DX113" s="22">
        <f t="shared" si="155"/>
        <v>0</v>
      </c>
      <c r="DY113" s="56">
        <f t="shared" si="155"/>
        <v>0</v>
      </c>
      <c r="DZ113" s="38">
        <f t="shared" si="155"/>
        <v>0</v>
      </c>
      <c r="EA113" s="25">
        <f t="shared" si="155"/>
        <v>0</v>
      </c>
      <c r="EB113" s="21">
        <f t="shared" si="155"/>
        <v>415317.93333333335</v>
      </c>
      <c r="EC113" s="33">
        <f t="shared" si="132"/>
        <v>0</v>
      </c>
      <c r="ED113" s="33">
        <f t="shared" si="133"/>
        <v>1</v>
      </c>
      <c r="EE113" s="22">
        <f>EE21+DP21+DA21</f>
        <v>417339.89999999997</v>
      </c>
      <c r="EF113" s="22">
        <f>EF21+DQ21+DB21</f>
        <v>3816</v>
      </c>
      <c r="EG113" s="34">
        <f>SUM(EG114:EG116)</f>
        <v>2021.9666666666253</v>
      </c>
      <c r="EH113" s="35">
        <f>EE21+EF21-EB21+DP21+DQ21-DM21+DA21+DB21-CX21</f>
        <v>5837.9666666666162</v>
      </c>
      <c r="EI113" s="430"/>
      <c r="EJ113" s="430"/>
      <c r="EK113" s="430"/>
      <c r="EL113" s="430"/>
      <c r="EM113" s="430"/>
      <c r="EN113" s="430"/>
      <c r="EO113" s="430"/>
      <c r="EP113" s="430"/>
      <c r="EQ113" s="430"/>
      <c r="ER113" s="430"/>
      <c r="ES113" s="430"/>
      <c r="ET113" s="430"/>
      <c r="EU113" s="430"/>
      <c r="EV113" s="430"/>
      <c r="EW113" s="430"/>
      <c r="EX113" s="430"/>
      <c r="EY113" s="430"/>
      <c r="EZ113" s="430"/>
      <c r="FA113" s="430"/>
      <c r="FB113" s="430"/>
      <c r="FC113" s="430"/>
      <c r="FD113" s="430"/>
      <c r="FE113" s="430"/>
      <c r="FF113" s="430"/>
      <c r="FG113" s="430"/>
      <c r="FH113" s="430"/>
      <c r="FI113" s="430"/>
      <c r="FJ113" s="430"/>
      <c r="FK113" s="430"/>
      <c r="FL113" s="430"/>
      <c r="FM113" s="911"/>
      <c r="FN113" s="912">
        <v>13</v>
      </c>
      <c r="FO113" s="1" t="s">
        <v>158</v>
      </c>
      <c r="FP113" s="22">
        <f t="shared" ref="FP113:FU116" si="156">FP21+FA21+EL21</f>
        <v>420565.21666666667</v>
      </c>
      <c r="FQ113" s="22">
        <f t="shared" si="156"/>
        <v>0</v>
      </c>
      <c r="FR113" s="56">
        <f t="shared" si="156"/>
        <v>0</v>
      </c>
      <c r="FS113" s="38">
        <f t="shared" si="156"/>
        <v>0</v>
      </c>
      <c r="FT113" s="25">
        <f t="shared" si="156"/>
        <v>0</v>
      </c>
      <c r="FU113" s="21">
        <f t="shared" si="156"/>
        <v>420565.21666666667</v>
      </c>
      <c r="FV113" s="33">
        <f t="shared" si="135"/>
        <v>0</v>
      </c>
      <c r="FW113" s="33">
        <f t="shared" si="136"/>
        <v>1</v>
      </c>
      <c r="FX113" s="22">
        <f>FX21+FI21+ET21</f>
        <v>422716.19999999995</v>
      </c>
      <c r="FY113" s="22">
        <f>FY21+FJ21+EU21</f>
        <v>3816</v>
      </c>
      <c r="FZ113" s="34">
        <f>SUM(FZ114:FZ116)</f>
        <v>2150.9833333332899</v>
      </c>
      <c r="GA113" s="35">
        <f>FX21+FY21-FU21+FI21+FJ21-FF21+ET21+EU21-EQ21</f>
        <v>5966.983333333279</v>
      </c>
      <c r="GB113" s="984"/>
    </row>
    <row r="114" spans="33:184">
      <c r="AG114" s="1047"/>
      <c r="AH114" s="910">
        <v>14</v>
      </c>
      <c r="AI114" s="876" t="s">
        <v>159</v>
      </c>
      <c r="AJ114" s="990">
        <f t="shared" si="152"/>
        <v>34062.933333333342</v>
      </c>
      <c r="AK114" s="990">
        <f t="shared" si="152"/>
        <v>127.33333333333334</v>
      </c>
      <c r="AL114" s="57">
        <f t="shared" si="152"/>
        <v>210.7</v>
      </c>
      <c r="AM114" s="106">
        <f t="shared" si="152"/>
        <v>371</v>
      </c>
      <c r="AN114" s="785">
        <f t="shared" si="152"/>
        <v>0</v>
      </c>
      <c r="AO114" s="1016">
        <f t="shared" si="152"/>
        <v>34029.966666666674</v>
      </c>
      <c r="AP114" s="1017">
        <f t="shared" si="152"/>
        <v>22038</v>
      </c>
      <c r="AQ114" s="930">
        <f t="shared" si="125"/>
        <v>1.078458066585338E-2</v>
      </c>
      <c r="AR114" s="930">
        <f t="shared" si="126"/>
        <v>0.98921541933414658</v>
      </c>
      <c r="AS114" s="990">
        <f t="shared" si="153"/>
        <v>69255</v>
      </c>
      <c r="AT114" s="990">
        <f t="shared" si="153"/>
        <v>0</v>
      </c>
      <c r="AU114" s="1018">
        <f>AU71+AE71+O71</f>
        <v>-85.700000000024374</v>
      </c>
      <c r="AV114" s="1019"/>
      <c r="AW114" s="430"/>
      <c r="AX114" s="430"/>
      <c r="AY114" s="430"/>
      <c r="AZ114" s="430"/>
      <c r="BA114" s="430"/>
      <c r="BB114" s="876"/>
      <c r="BC114" s="430"/>
      <c r="BD114" s="430"/>
      <c r="BE114" s="430"/>
      <c r="BF114" s="430"/>
      <c r="BG114" s="430"/>
      <c r="BH114" s="876"/>
      <c r="BI114" s="430"/>
      <c r="BJ114" s="430"/>
      <c r="BK114" s="430"/>
      <c r="BL114" s="430"/>
      <c r="BM114" s="430"/>
      <c r="BN114" s="876"/>
      <c r="BO114" s="430"/>
      <c r="BP114" s="430"/>
      <c r="BQ114" s="430"/>
      <c r="BR114" s="430"/>
      <c r="BS114" s="430"/>
      <c r="BT114" s="876"/>
      <c r="BU114" s="430"/>
      <c r="BV114" s="430"/>
      <c r="BW114" s="430"/>
      <c r="BX114" s="430"/>
      <c r="BY114" s="430"/>
      <c r="BZ114" s="876"/>
      <c r="CA114" s="911"/>
      <c r="CB114" s="912">
        <v>14</v>
      </c>
      <c r="CC114" s="876" t="s">
        <v>159</v>
      </c>
      <c r="CD114" s="990">
        <f t="shared" si="154"/>
        <v>34062.933333333342</v>
      </c>
      <c r="CE114" s="990">
        <f t="shared" si="154"/>
        <v>5.3666666666666671</v>
      </c>
      <c r="CF114" s="57">
        <f t="shared" si="154"/>
        <v>0</v>
      </c>
      <c r="CG114" s="106">
        <f t="shared" si="154"/>
        <v>95</v>
      </c>
      <c r="CH114" s="785">
        <f t="shared" si="154"/>
        <v>0</v>
      </c>
      <c r="CI114" s="1016">
        <f t="shared" si="154"/>
        <v>33973.300000000003</v>
      </c>
      <c r="CJ114" s="930">
        <f t="shared" si="129"/>
        <v>2.7885160104848192E-3</v>
      </c>
      <c r="CK114" s="930">
        <f t="shared" si="130"/>
        <v>0.9972114839895152</v>
      </c>
      <c r="CL114" s="990">
        <f>CL22+BW22+BH22</f>
        <v>34095.066666666666</v>
      </c>
      <c r="CM114" s="990"/>
      <c r="CN114" s="1018">
        <f>CN22+BY22+BJ22</f>
        <v>121.76666666666097</v>
      </c>
      <c r="CO114" s="1019"/>
      <c r="CP114" s="984"/>
      <c r="CQ114" s="430"/>
      <c r="CR114" s="430"/>
      <c r="CS114" s="430"/>
      <c r="CT114" s="876"/>
      <c r="CU114" s="430"/>
      <c r="CV114" s="430"/>
      <c r="CW114" s="430"/>
      <c r="CX114" s="430"/>
      <c r="CY114" s="430"/>
      <c r="CZ114" s="876"/>
      <c r="DA114" s="430"/>
      <c r="DB114" s="430"/>
      <c r="DC114" s="430"/>
      <c r="DD114" s="430"/>
      <c r="DE114" s="430"/>
      <c r="DF114" s="430"/>
      <c r="DG114" s="430"/>
      <c r="DH114" s="430"/>
      <c r="DI114" s="430"/>
      <c r="DJ114" s="430"/>
      <c r="DK114" s="430"/>
      <c r="DL114" s="430"/>
      <c r="DM114" s="430"/>
      <c r="DN114" s="430"/>
      <c r="DO114" s="430"/>
      <c r="DP114" s="430"/>
      <c r="DQ114" s="430"/>
      <c r="DR114" s="430"/>
      <c r="DS114" s="430"/>
      <c r="DT114" s="911"/>
      <c r="DU114" s="912">
        <v>14</v>
      </c>
      <c r="DV114" s="876" t="s">
        <v>159</v>
      </c>
      <c r="DW114" s="990">
        <f t="shared" si="155"/>
        <v>33530.700000000004</v>
      </c>
      <c r="DX114" s="990">
        <f t="shared" si="155"/>
        <v>0</v>
      </c>
      <c r="DY114" s="57">
        <f t="shared" si="155"/>
        <v>0</v>
      </c>
      <c r="DZ114" s="106">
        <f t="shared" si="155"/>
        <v>0</v>
      </c>
      <c r="EA114" s="785">
        <f t="shared" si="155"/>
        <v>0</v>
      </c>
      <c r="EB114" s="1016">
        <f t="shared" si="155"/>
        <v>33530.700000000004</v>
      </c>
      <c r="EC114" s="930">
        <f t="shared" si="132"/>
        <v>0</v>
      </c>
      <c r="ED114" s="930">
        <f t="shared" si="133"/>
        <v>1</v>
      </c>
      <c r="EE114" s="990">
        <f>EE22+DP22+DA22</f>
        <v>33562.199999999997</v>
      </c>
      <c r="EF114" s="990"/>
      <c r="EG114" s="1018">
        <f>EG22+DR22+DC22</f>
        <v>31.499999999994543</v>
      </c>
      <c r="EH114" s="1019"/>
      <c r="EI114" s="430"/>
      <c r="EJ114" s="430"/>
      <c r="EK114" s="430"/>
      <c r="EL114" s="430"/>
      <c r="EM114" s="430"/>
      <c r="EN114" s="430"/>
      <c r="EO114" s="430"/>
      <c r="EP114" s="430"/>
      <c r="EQ114" s="430"/>
      <c r="ER114" s="430"/>
      <c r="ES114" s="430"/>
      <c r="ET114" s="430"/>
      <c r="EU114" s="430"/>
      <c r="EV114" s="430"/>
      <c r="EW114" s="430"/>
      <c r="EX114" s="430"/>
      <c r="EY114" s="430"/>
      <c r="EZ114" s="430"/>
      <c r="FA114" s="430"/>
      <c r="FB114" s="430"/>
      <c r="FC114" s="430"/>
      <c r="FD114" s="430"/>
      <c r="FE114" s="430"/>
      <c r="FF114" s="430"/>
      <c r="FG114" s="430"/>
      <c r="FH114" s="430"/>
      <c r="FI114" s="430"/>
      <c r="FJ114" s="430"/>
      <c r="FK114" s="430"/>
      <c r="FL114" s="430"/>
      <c r="FM114" s="911"/>
      <c r="FN114" s="912">
        <v>14</v>
      </c>
      <c r="FO114" s="876" t="s">
        <v>159</v>
      </c>
      <c r="FP114" s="990">
        <f t="shared" si="156"/>
        <v>34062.933333333334</v>
      </c>
      <c r="FQ114" s="990">
        <f t="shared" si="156"/>
        <v>0</v>
      </c>
      <c r="FR114" s="57">
        <f t="shared" si="156"/>
        <v>0</v>
      </c>
      <c r="FS114" s="106">
        <f t="shared" si="156"/>
        <v>0</v>
      </c>
      <c r="FT114" s="785">
        <f t="shared" si="156"/>
        <v>0</v>
      </c>
      <c r="FU114" s="1016">
        <f t="shared" si="156"/>
        <v>34062.933333333334</v>
      </c>
      <c r="FV114" s="930">
        <f t="shared" si="135"/>
        <v>0</v>
      </c>
      <c r="FW114" s="930">
        <f t="shared" si="136"/>
        <v>1</v>
      </c>
      <c r="FX114" s="990">
        <f>FX22+FI22+ET22</f>
        <v>34094.933333333334</v>
      </c>
      <c r="FY114" s="990"/>
      <c r="FZ114" s="1018">
        <f>FZ22+FK22+EV22</f>
        <v>31.999999999996362</v>
      </c>
      <c r="GA114" s="1019"/>
      <c r="GB114" s="984"/>
    </row>
    <row r="115" spans="33:184">
      <c r="AG115" s="1047"/>
      <c r="AH115" s="910">
        <v>15</v>
      </c>
      <c r="AI115" s="876" t="s">
        <v>160</v>
      </c>
      <c r="AJ115" s="990">
        <f t="shared" si="152"/>
        <v>199757.26666666666</v>
      </c>
      <c r="AK115" s="990">
        <f t="shared" si="152"/>
        <v>3327.75</v>
      </c>
      <c r="AL115" s="57">
        <f t="shared" si="152"/>
        <v>0</v>
      </c>
      <c r="AM115" s="106">
        <f t="shared" si="152"/>
        <v>1782</v>
      </c>
      <c r="AN115" s="785">
        <f t="shared" si="152"/>
        <v>0</v>
      </c>
      <c r="AO115" s="1016">
        <f t="shared" si="152"/>
        <v>201303.01666666666</v>
      </c>
      <c r="AP115" s="1017">
        <f t="shared" si="152"/>
        <v>132160</v>
      </c>
      <c r="AQ115" s="930">
        <f t="shared" si="125"/>
        <v>8.7746502880854255E-3</v>
      </c>
      <c r="AR115" s="930">
        <f t="shared" si="126"/>
        <v>0.99122534971191456</v>
      </c>
      <c r="AS115" s="990">
        <f t="shared" si="153"/>
        <v>404308</v>
      </c>
      <c r="AT115" s="990">
        <f t="shared" si="153"/>
        <v>0</v>
      </c>
      <c r="AU115" s="1018">
        <f>AU72+AE72+O72</f>
        <v>-1794.9833333333154</v>
      </c>
      <c r="AV115" s="1019"/>
      <c r="AW115" s="430"/>
      <c r="AX115" s="430"/>
      <c r="AY115" s="430"/>
      <c r="AZ115" s="430"/>
      <c r="BA115" s="430"/>
      <c r="BB115" s="876"/>
      <c r="BC115" s="430"/>
      <c r="BD115" s="430"/>
      <c r="BE115" s="430"/>
      <c r="BF115" s="430"/>
      <c r="BG115" s="430"/>
      <c r="BH115" s="876"/>
      <c r="BI115" s="430"/>
      <c r="BJ115" s="430"/>
      <c r="BK115" s="430"/>
      <c r="BL115" s="430"/>
      <c r="BM115" s="430"/>
      <c r="BN115" s="876"/>
      <c r="BO115" s="430"/>
      <c r="BP115" s="430"/>
      <c r="BQ115" s="430"/>
      <c r="BR115" s="430"/>
      <c r="BS115" s="430"/>
      <c r="BT115" s="876"/>
      <c r="BU115" s="430"/>
      <c r="BV115" s="430"/>
      <c r="BW115" s="430"/>
      <c r="BX115" s="430"/>
      <c r="BY115" s="430"/>
      <c r="BZ115" s="876"/>
      <c r="CA115" s="911"/>
      <c r="CB115" s="912">
        <v>15</v>
      </c>
      <c r="CC115" s="876" t="s">
        <v>160</v>
      </c>
      <c r="CD115" s="990">
        <f t="shared" si="154"/>
        <v>200001.7</v>
      </c>
      <c r="CE115" s="990">
        <f t="shared" si="154"/>
        <v>380.71666666666687</v>
      </c>
      <c r="CF115" s="57">
        <f t="shared" si="154"/>
        <v>0</v>
      </c>
      <c r="CG115" s="106">
        <f t="shared" si="154"/>
        <v>628</v>
      </c>
      <c r="CH115" s="785">
        <f t="shared" si="154"/>
        <v>0</v>
      </c>
      <c r="CI115" s="1016">
        <f t="shared" si="154"/>
        <v>199754.41666666669</v>
      </c>
      <c r="CJ115" s="930">
        <f t="shared" si="129"/>
        <v>3.1340075164612326E-3</v>
      </c>
      <c r="CK115" s="930">
        <f t="shared" si="130"/>
        <v>0.9968659924835388</v>
      </c>
      <c r="CL115" s="990">
        <f>CL23+BW23+BH23</f>
        <v>200502.81666666665</v>
      </c>
      <c r="CM115" s="990"/>
      <c r="CN115" s="1018">
        <f>CN23+BY23+BJ23</f>
        <v>748.39999999997235</v>
      </c>
      <c r="CO115" s="1019"/>
      <c r="CP115" s="984"/>
      <c r="CQ115" s="430"/>
      <c r="CR115" s="430"/>
      <c r="CS115" s="430"/>
      <c r="CT115" s="876"/>
      <c r="CU115" s="430"/>
      <c r="CV115" s="430"/>
      <c r="CW115" s="430"/>
      <c r="CX115" s="430"/>
      <c r="CY115" s="430"/>
      <c r="CZ115" s="876"/>
      <c r="DA115" s="430"/>
      <c r="DB115" s="430"/>
      <c r="DC115" s="430"/>
      <c r="DD115" s="430"/>
      <c r="DE115" s="430"/>
      <c r="DF115" s="430"/>
      <c r="DG115" s="430"/>
      <c r="DH115" s="430"/>
      <c r="DI115" s="430"/>
      <c r="DJ115" s="430"/>
      <c r="DK115" s="430"/>
      <c r="DL115" s="430"/>
      <c r="DM115" s="430"/>
      <c r="DN115" s="430"/>
      <c r="DO115" s="430"/>
      <c r="DP115" s="430"/>
      <c r="DQ115" s="430"/>
      <c r="DR115" s="430"/>
      <c r="DS115" s="430"/>
      <c r="DT115" s="911"/>
      <c r="DU115" s="912">
        <v>15</v>
      </c>
      <c r="DV115" s="876" t="s">
        <v>160</v>
      </c>
      <c r="DW115" s="990">
        <f t="shared" si="155"/>
        <v>196094.05000000005</v>
      </c>
      <c r="DX115" s="990">
        <f t="shared" si="155"/>
        <v>0</v>
      </c>
      <c r="DY115" s="57">
        <f t="shared" si="155"/>
        <v>0</v>
      </c>
      <c r="DZ115" s="106">
        <f t="shared" si="155"/>
        <v>0</v>
      </c>
      <c r="EA115" s="785">
        <f t="shared" si="155"/>
        <v>0</v>
      </c>
      <c r="EB115" s="1016">
        <f t="shared" si="155"/>
        <v>196094.05000000005</v>
      </c>
      <c r="EC115" s="930">
        <f t="shared" si="132"/>
        <v>0</v>
      </c>
      <c r="ED115" s="930">
        <f t="shared" si="133"/>
        <v>1</v>
      </c>
      <c r="EE115" s="990">
        <f>EE23+DP23+DA23</f>
        <v>196619.44999999998</v>
      </c>
      <c r="EF115" s="990"/>
      <c r="EG115" s="1018">
        <f>EG23+DR23+DC23</f>
        <v>525.3999999999578</v>
      </c>
      <c r="EH115" s="1019"/>
      <c r="EI115" s="430"/>
      <c r="EJ115" s="430"/>
      <c r="EK115" s="430"/>
      <c r="EL115" s="430"/>
      <c r="EM115" s="430"/>
      <c r="EN115" s="430"/>
      <c r="EO115" s="430"/>
      <c r="EP115" s="430"/>
      <c r="EQ115" s="430"/>
      <c r="ER115" s="430"/>
      <c r="ES115" s="430"/>
      <c r="ET115" s="430"/>
      <c r="EU115" s="430"/>
      <c r="EV115" s="430"/>
      <c r="EW115" s="430"/>
      <c r="EX115" s="430"/>
      <c r="EY115" s="430"/>
      <c r="EZ115" s="430"/>
      <c r="FA115" s="430"/>
      <c r="FB115" s="430"/>
      <c r="FC115" s="430"/>
      <c r="FD115" s="430"/>
      <c r="FE115" s="430"/>
      <c r="FF115" s="430"/>
      <c r="FG115" s="430"/>
      <c r="FH115" s="430"/>
      <c r="FI115" s="430"/>
      <c r="FJ115" s="430"/>
      <c r="FK115" s="430"/>
      <c r="FL115" s="430"/>
      <c r="FM115" s="911"/>
      <c r="FN115" s="912">
        <v>15</v>
      </c>
      <c r="FO115" s="876" t="s">
        <v>160</v>
      </c>
      <c r="FP115" s="990">
        <f t="shared" si="156"/>
        <v>198508.68333333335</v>
      </c>
      <c r="FQ115" s="990">
        <f t="shared" si="156"/>
        <v>0</v>
      </c>
      <c r="FR115" s="57">
        <f t="shared" si="156"/>
        <v>0</v>
      </c>
      <c r="FS115" s="106">
        <f t="shared" si="156"/>
        <v>0</v>
      </c>
      <c r="FT115" s="785">
        <f t="shared" si="156"/>
        <v>0</v>
      </c>
      <c r="FU115" s="1016">
        <f t="shared" si="156"/>
        <v>198508.68333333335</v>
      </c>
      <c r="FV115" s="930">
        <f t="shared" si="135"/>
        <v>0</v>
      </c>
      <c r="FW115" s="930">
        <f t="shared" si="136"/>
        <v>1</v>
      </c>
      <c r="FX115" s="990">
        <f>FX23+FI23+ET23</f>
        <v>199013.93333333332</v>
      </c>
      <c r="FY115" s="990"/>
      <c r="FZ115" s="1018">
        <f>FZ23+FK23+EV23</f>
        <v>505.2499999999709</v>
      </c>
      <c r="GA115" s="1019"/>
      <c r="GB115" s="984"/>
    </row>
    <row r="116" spans="33:184">
      <c r="AG116" s="1047"/>
      <c r="AH116" s="932">
        <v>16</v>
      </c>
      <c r="AI116" s="876" t="s">
        <v>161</v>
      </c>
      <c r="AJ116" s="990">
        <f t="shared" si="152"/>
        <v>189097.53333333333</v>
      </c>
      <c r="AK116" s="990">
        <f t="shared" si="152"/>
        <v>1679.9166666666665</v>
      </c>
      <c r="AL116" s="57">
        <f t="shared" si="152"/>
        <v>136.31666666666666</v>
      </c>
      <c r="AM116" s="106">
        <f t="shared" si="152"/>
        <v>1845</v>
      </c>
      <c r="AN116" s="785">
        <f t="shared" si="152"/>
        <v>0</v>
      </c>
      <c r="AO116" s="1016">
        <f t="shared" si="152"/>
        <v>189068.76666666666</v>
      </c>
      <c r="AP116" s="1017">
        <f t="shared" si="152"/>
        <v>125302</v>
      </c>
      <c r="AQ116" s="930">
        <f t="shared" si="125"/>
        <v>9.6640490217834822E-3</v>
      </c>
      <c r="AR116" s="930">
        <f t="shared" si="126"/>
        <v>0.99033595097821647</v>
      </c>
      <c r="AS116" s="990">
        <f t="shared" si="153"/>
        <v>385046</v>
      </c>
      <c r="AT116" s="990">
        <f t="shared" si="153"/>
        <v>0</v>
      </c>
      <c r="AU116" s="1018">
        <f>AU73+AE73+O73</f>
        <v>3702.0499999999956</v>
      </c>
      <c r="AV116" s="1019"/>
      <c r="AW116" s="430"/>
      <c r="AX116" s="430"/>
      <c r="AY116" s="430"/>
      <c r="AZ116" s="430"/>
      <c r="BA116" s="430"/>
      <c r="BB116" s="876"/>
      <c r="BC116" s="430"/>
      <c r="BD116" s="430"/>
      <c r="BE116" s="430"/>
      <c r="BF116" s="430"/>
      <c r="BG116" s="430"/>
      <c r="BH116" s="876"/>
      <c r="BI116" s="430"/>
      <c r="BJ116" s="430"/>
      <c r="BK116" s="430"/>
      <c r="BL116" s="430"/>
      <c r="BM116" s="430"/>
      <c r="BN116" s="876"/>
      <c r="BO116" s="430"/>
      <c r="BP116" s="430"/>
      <c r="BQ116" s="430"/>
      <c r="BR116" s="430"/>
      <c r="BS116" s="430"/>
      <c r="BT116" s="876"/>
      <c r="BU116" s="430"/>
      <c r="BV116" s="430"/>
      <c r="BW116" s="430"/>
      <c r="BX116" s="430"/>
      <c r="BY116" s="430"/>
      <c r="BZ116" s="876"/>
      <c r="CA116" s="911"/>
      <c r="CB116" s="876">
        <v>16</v>
      </c>
      <c r="CC116" s="876" t="s">
        <v>161</v>
      </c>
      <c r="CD116" s="990">
        <f t="shared" si="154"/>
        <v>189428.99999999997</v>
      </c>
      <c r="CE116" s="990">
        <f t="shared" si="154"/>
        <v>17.133333333333329</v>
      </c>
      <c r="CF116" s="57">
        <f t="shared" si="154"/>
        <v>261.21666666666664</v>
      </c>
      <c r="CG116" s="106">
        <f t="shared" si="154"/>
        <v>543</v>
      </c>
      <c r="CH116" s="785">
        <f t="shared" si="154"/>
        <v>0</v>
      </c>
      <c r="CI116" s="1016">
        <f t="shared" si="154"/>
        <v>189164.34999999998</v>
      </c>
      <c r="CJ116" s="930">
        <f t="shared" si="129"/>
        <v>2.8623034373734075E-3</v>
      </c>
      <c r="CK116" s="930">
        <f t="shared" si="130"/>
        <v>0.99713769656262663</v>
      </c>
      <c r="CL116" s="990">
        <f>CL24+BW24+BH24</f>
        <v>190979.41666666666</v>
      </c>
      <c r="CM116" s="990"/>
      <c r="CN116" s="1018">
        <f>CN24+BY24+BJ24</f>
        <v>1815.0666666666802</v>
      </c>
      <c r="CO116" s="1019"/>
      <c r="CP116" s="984"/>
      <c r="CQ116" s="430"/>
      <c r="CR116" s="430"/>
      <c r="CS116" s="430"/>
      <c r="CT116" s="876"/>
      <c r="CU116" s="430"/>
      <c r="CV116" s="430"/>
      <c r="CW116" s="430"/>
      <c r="CX116" s="430"/>
      <c r="CY116" s="430"/>
      <c r="CZ116" s="876"/>
      <c r="DA116" s="430"/>
      <c r="DB116" s="430"/>
      <c r="DC116" s="430"/>
      <c r="DD116" s="430"/>
      <c r="DE116" s="430"/>
      <c r="DF116" s="430"/>
      <c r="DG116" s="430"/>
      <c r="DH116" s="430"/>
      <c r="DI116" s="430"/>
      <c r="DJ116" s="430"/>
      <c r="DK116" s="430"/>
      <c r="DL116" s="430"/>
      <c r="DM116" s="430"/>
      <c r="DN116" s="430"/>
      <c r="DO116" s="430"/>
      <c r="DP116" s="430"/>
      <c r="DQ116" s="430"/>
      <c r="DR116" s="430"/>
      <c r="DS116" s="430"/>
      <c r="DT116" s="911"/>
      <c r="DU116" s="876">
        <v>16</v>
      </c>
      <c r="DV116" s="876" t="s">
        <v>161</v>
      </c>
      <c r="DW116" s="990">
        <f t="shared" si="155"/>
        <v>185693.18333333332</v>
      </c>
      <c r="DX116" s="990">
        <f t="shared" si="155"/>
        <v>0</v>
      </c>
      <c r="DY116" s="57">
        <f t="shared" si="155"/>
        <v>0</v>
      </c>
      <c r="DZ116" s="106">
        <f t="shared" si="155"/>
        <v>0</v>
      </c>
      <c r="EA116" s="785">
        <f t="shared" si="155"/>
        <v>0</v>
      </c>
      <c r="EB116" s="1016">
        <f t="shared" si="155"/>
        <v>185693.18333333332</v>
      </c>
      <c r="EC116" s="930">
        <f t="shared" si="132"/>
        <v>0</v>
      </c>
      <c r="ED116" s="930">
        <f t="shared" si="133"/>
        <v>1</v>
      </c>
      <c r="EE116" s="990">
        <f>EE24+DP24+DA24</f>
        <v>187158.25</v>
      </c>
      <c r="EF116" s="990"/>
      <c r="EG116" s="1018">
        <f>EG24+DR24+DC24</f>
        <v>1465.066666666673</v>
      </c>
      <c r="EH116" s="1019"/>
      <c r="EI116" s="430"/>
      <c r="EJ116" s="430"/>
      <c r="EK116" s="430"/>
      <c r="EL116" s="430"/>
      <c r="EM116" s="430"/>
      <c r="EN116" s="430"/>
      <c r="EO116" s="430"/>
      <c r="EP116" s="430"/>
      <c r="EQ116" s="430"/>
      <c r="ER116" s="430"/>
      <c r="ES116" s="430"/>
      <c r="ET116" s="430"/>
      <c r="EU116" s="430"/>
      <c r="EV116" s="430"/>
      <c r="EW116" s="430"/>
      <c r="EX116" s="430"/>
      <c r="EY116" s="430"/>
      <c r="EZ116" s="430"/>
      <c r="FA116" s="430"/>
      <c r="FB116" s="430"/>
      <c r="FC116" s="430"/>
      <c r="FD116" s="430"/>
      <c r="FE116" s="430"/>
      <c r="FF116" s="430"/>
      <c r="FG116" s="430"/>
      <c r="FH116" s="430"/>
      <c r="FI116" s="430"/>
      <c r="FJ116" s="430"/>
      <c r="FK116" s="430"/>
      <c r="FL116" s="430"/>
      <c r="FM116" s="911"/>
      <c r="FN116" s="876">
        <v>16</v>
      </c>
      <c r="FO116" s="876" t="s">
        <v>161</v>
      </c>
      <c r="FP116" s="990">
        <f t="shared" si="156"/>
        <v>187993.60000000001</v>
      </c>
      <c r="FQ116" s="990">
        <f t="shared" si="156"/>
        <v>0</v>
      </c>
      <c r="FR116" s="57">
        <f t="shared" si="156"/>
        <v>0</v>
      </c>
      <c r="FS116" s="106">
        <f t="shared" si="156"/>
        <v>0</v>
      </c>
      <c r="FT116" s="785">
        <f t="shared" si="156"/>
        <v>0</v>
      </c>
      <c r="FU116" s="1016">
        <f t="shared" si="156"/>
        <v>187993.60000000001</v>
      </c>
      <c r="FV116" s="930">
        <f t="shared" si="135"/>
        <v>0</v>
      </c>
      <c r="FW116" s="930">
        <f t="shared" si="136"/>
        <v>1</v>
      </c>
      <c r="FX116" s="990">
        <f>FX24+FI24+ET24</f>
        <v>189607.33333333331</v>
      </c>
      <c r="FY116" s="990"/>
      <c r="FZ116" s="1018">
        <f>FZ24+FK24+EV24</f>
        <v>1613.7333333333227</v>
      </c>
      <c r="GA116" s="1019"/>
      <c r="GB116" s="984"/>
    </row>
    <row r="117" spans="33:184" ht="13.5" thickBot="1">
      <c r="AG117" s="1048"/>
      <c r="AH117" s="948"/>
      <c r="AI117" s="14" t="s">
        <v>57</v>
      </c>
      <c r="AJ117" s="26">
        <f t="shared" ref="AJ117:AP117" si="157">SUM(AJ102:AJ103,AJ105:AJ106,AJ108:AJ109,AJ111:AJ112,AJ114:AJ116)</f>
        <v>1707215.0333333332</v>
      </c>
      <c r="AK117" s="26">
        <f t="shared" si="157"/>
        <v>7302.5833333333339</v>
      </c>
      <c r="AL117" s="26">
        <f t="shared" si="157"/>
        <v>4054.6166666666659</v>
      </c>
      <c r="AM117" s="26">
        <f t="shared" si="157"/>
        <v>15414</v>
      </c>
      <c r="AN117" s="117">
        <f t="shared" si="157"/>
        <v>0</v>
      </c>
      <c r="AO117" s="92">
        <f t="shared" si="157"/>
        <v>1703158.2333333334</v>
      </c>
      <c r="AP117" s="70">
        <f t="shared" si="157"/>
        <v>1133600</v>
      </c>
      <c r="AQ117" s="32">
        <f t="shared" si="125"/>
        <v>8.9690731067515808E-3</v>
      </c>
      <c r="AR117" s="32">
        <f t="shared" si="126"/>
        <v>0.99103092689324845</v>
      </c>
      <c r="AS117" s="26">
        <f>SUM(AS102:AS103,AS105:AS106,AS108:AS109,AS111:AS112,AS114:AS116)</f>
        <v>3472358</v>
      </c>
      <c r="AT117" s="26">
        <f>SUM(AT101,AT104,AT107,AT110,AT113)</f>
        <v>27984</v>
      </c>
      <c r="AU117" s="27">
        <f>SUM(AU101,AU104,AU107,AU110,AU113)</f>
        <v>34429.01666666667</v>
      </c>
      <c r="AV117" s="28">
        <f>AS75+AT75-AO75+AC75+AD75-Y75+M75+N75-I75</f>
        <v>62413.016666666488</v>
      </c>
      <c r="AW117" s="430"/>
      <c r="AX117" s="430"/>
      <c r="AY117" s="430"/>
      <c r="AZ117" s="430"/>
      <c r="BA117" s="430"/>
      <c r="BB117" s="876"/>
      <c r="BC117" s="430"/>
      <c r="BD117" s="430"/>
      <c r="BE117" s="430"/>
      <c r="BF117" s="430"/>
      <c r="BG117" s="430"/>
      <c r="BH117" s="876"/>
      <c r="BI117" s="430"/>
      <c r="BJ117" s="430"/>
      <c r="BK117" s="430"/>
      <c r="BL117" s="430"/>
      <c r="BM117" s="430"/>
      <c r="BN117" s="876"/>
      <c r="BO117" s="430"/>
      <c r="BP117" s="430"/>
      <c r="BQ117" s="430"/>
      <c r="BR117" s="430"/>
      <c r="BS117" s="430"/>
      <c r="BT117" s="876"/>
      <c r="BU117" s="430"/>
      <c r="BV117" s="430"/>
      <c r="BW117" s="430"/>
      <c r="BX117" s="430"/>
      <c r="BY117" s="430"/>
      <c r="BZ117" s="876"/>
      <c r="CA117" s="955"/>
      <c r="CB117" s="948"/>
      <c r="CC117" s="14" t="s">
        <v>57</v>
      </c>
      <c r="CD117" s="26">
        <f t="shared" ref="CD117:CI117" si="158">SUM(CD102:CD103,CD105:CD106,CD108:CD109,CD111:CD112,CD114:CD116)</f>
        <v>1710023.4</v>
      </c>
      <c r="CE117" s="26">
        <f t="shared" si="158"/>
        <v>777.28333333333364</v>
      </c>
      <c r="CF117" s="26">
        <f t="shared" si="158"/>
        <v>657.7166666666667</v>
      </c>
      <c r="CG117" s="26">
        <f t="shared" si="158"/>
        <v>5178</v>
      </c>
      <c r="CH117" s="117">
        <f t="shared" si="158"/>
        <v>0</v>
      </c>
      <c r="CI117" s="92">
        <f t="shared" si="158"/>
        <v>1706280.4</v>
      </c>
      <c r="CJ117" s="32">
        <f t="shared" si="129"/>
        <v>3.0254898395426968E-3</v>
      </c>
      <c r="CK117" s="32">
        <f t="shared" si="130"/>
        <v>0.99697451016045735</v>
      </c>
      <c r="CL117" s="26">
        <f>SUM(CL102:CL103,CL105:CL106,CL108:CL109,CL111:CL112,CL114:CL116)</f>
        <v>1718423.7033333334</v>
      </c>
      <c r="CM117" s="26">
        <f>SUM(CM101,CM104,CM107,CM110,CM113)</f>
        <v>13992</v>
      </c>
      <c r="CN117" s="27">
        <f>SUM(CN101,CN104,CN107,CN110,CN113)</f>
        <v>12143.303333333357</v>
      </c>
      <c r="CO117" s="44">
        <f>CL26+CM26-CI26+BW26+BX26-BT26+BH26+BI26-BE26</f>
        <v>26135.303333333461</v>
      </c>
      <c r="CP117" s="1043"/>
      <c r="CQ117" s="430"/>
      <c r="CR117" s="430"/>
      <c r="CS117" s="430"/>
      <c r="CT117" s="876"/>
      <c r="CU117" s="430"/>
      <c r="CV117" s="430"/>
      <c r="CW117" s="430"/>
      <c r="CX117" s="430"/>
      <c r="CY117" s="430"/>
      <c r="CZ117" s="876"/>
      <c r="DA117" s="430"/>
      <c r="DB117" s="430"/>
      <c r="DC117" s="430"/>
      <c r="DD117" s="430"/>
      <c r="DE117" s="430"/>
      <c r="DF117" s="430"/>
      <c r="DG117" s="430"/>
      <c r="DH117" s="430"/>
      <c r="DI117" s="430"/>
      <c r="DJ117" s="430"/>
      <c r="DK117" s="430"/>
      <c r="DL117" s="430"/>
      <c r="DM117" s="430"/>
      <c r="DN117" s="430"/>
      <c r="DO117" s="430"/>
      <c r="DP117" s="430"/>
      <c r="DQ117" s="430"/>
      <c r="DR117" s="430"/>
      <c r="DS117" s="430"/>
      <c r="DT117" s="955"/>
      <c r="DU117" s="948"/>
      <c r="DV117" s="14" t="s">
        <v>57</v>
      </c>
      <c r="DW117" s="26">
        <f t="shared" ref="DW117:EB117" si="159">SUM(DW102:DW103,DW105:DW106,DW108:DW109,DW111:DW112,DW114:DW116)</f>
        <v>1677134.0666666667</v>
      </c>
      <c r="DX117" s="26">
        <f t="shared" si="159"/>
        <v>0</v>
      </c>
      <c r="DY117" s="26">
        <f t="shared" si="159"/>
        <v>0</v>
      </c>
      <c r="DZ117" s="26">
        <f t="shared" si="159"/>
        <v>0</v>
      </c>
      <c r="EA117" s="117">
        <f t="shared" si="159"/>
        <v>0</v>
      </c>
      <c r="EB117" s="92">
        <f t="shared" si="159"/>
        <v>1677134.0666666667</v>
      </c>
      <c r="EC117" s="32">
        <f t="shared" si="132"/>
        <v>0</v>
      </c>
      <c r="ED117" s="32">
        <f t="shared" si="133"/>
        <v>1</v>
      </c>
      <c r="EE117" s="26">
        <f>SUM(EE102:EE103,EE105:EE106,EE108:EE109,EE111:EE112,EE114:EE116)</f>
        <v>1685624.55</v>
      </c>
      <c r="EF117" s="26">
        <f>SUM(EF101,EF104,EF107,EF110,EF113)</f>
        <v>13992</v>
      </c>
      <c r="EG117" s="27">
        <f>SUM(EG101,EG104,EG107,EG110,EG113)</f>
        <v>8490.4833333333609</v>
      </c>
      <c r="EH117" s="44">
        <f>EE26+EF26-EB26+DP26+DQ26-DM26+DA26+DB26-CX26</f>
        <v>22482.483333333279</v>
      </c>
      <c r="EI117" s="430"/>
      <c r="EJ117" s="430"/>
      <c r="EK117" s="430"/>
      <c r="EL117" s="430"/>
      <c r="EM117" s="430"/>
      <c r="EN117" s="430"/>
      <c r="EO117" s="430"/>
      <c r="EP117" s="430"/>
      <c r="EQ117" s="430"/>
      <c r="ER117" s="430"/>
      <c r="ES117" s="430"/>
      <c r="ET117" s="430"/>
      <c r="EU117" s="430"/>
      <c r="EV117" s="430"/>
      <c r="EW117" s="430"/>
      <c r="EX117" s="430"/>
      <c r="EY117" s="430"/>
      <c r="EZ117" s="430"/>
      <c r="FA117" s="430"/>
      <c r="FB117" s="430"/>
      <c r="FC117" s="430"/>
      <c r="FD117" s="430"/>
      <c r="FE117" s="430"/>
      <c r="FF117" s="430"/>
      <c r="FG117" s="430"/>
      <c r="FH117" s="430"/>
      <c r="FI117" s="430"/>
      <c r="FJ117" s="430"/>
      <c r="FK117" s="430"/>
      <c r="FL117" s="430"/>
      <c r="FM117" s="955"/>
      <c r="FN117" s="948"/>
      <c r="FO117" s="14" t="s">
        <v>57</v>
      </c>
      <c r="FP117" s="26">
        <f t="shared" ref="FP117:FU117" si="160">SUM(FP102:FP103,FP105:FP106,FP108:FP109,FP111:FP112,FP114:FP116)</f>
        <v>1698612.8666666667</v>
      </c>
      <c r="FQ117" s="26">
        <f t="shared" si="160"/>
        <v>0</v>
      </c>
      <c r="FR117" s="26">
        <f t="shared" si="160"/>
        <v>0</v>
      </c>
      <c r="FS117" s="26">
        <f t="shared" si="160"/>
        <v>0</v>
      </c>
      <c r="FT117" s="117">
        <f t="shared" si="160"/>
        <v>0</v>
      </c>
      <c r="FU117" s="92">
        <f t="shared" si="160"/>
        <v>1698612.8666666667</v>
      </c>
      <c r="FV117" s="32">
        <f t="shared" si="135"/>
        <v>0</v>
      </c>
      <c r="FW117" s="32">
        <f t="shared" si="136"/>
        <v>1</v>
      </c>
      <c r="FX117" s="26">
        <f>SUM(FX102:FX103,FX105:FX106,FX108:FX109,FX111:FX112,FX114:FX116)</f>
        <v>1707160.7043333333</v>
      </c>
      <c r="FY117" s="26">
        <f>SUM(FY101,FY104,FY107,FY110,FY113)</f>
        <v>13992</v>
      </c>
      <c r="FZ117" s="27">
        <f>SUM(FZ101,FZ104,FZ107,FZ110,FZ113)</f>
        <v>8547.83766666675</v>
      </c>
      <c r="GA117" s="44">
        <f>FX26+FY26-FU26+FI26+FJ26-FF26+ET26+EU26-EQ26</f>
        <v>22539.837666666717</v>
      </c>
      <c r="GB117" s="1043"/>
    </row>
  </sheetData>
  <mergeCells count="29">
    <mergeCell ref="AG99:AV99"/>
    <mergeCell ref="AW78:BK78"/>
    <mergeCell ref="FM99:GB99"/>
    <mergeCell ref="CA3:CO3"/>
    <mergeCell ref="EX3:FL3"/>
    <mergeCell ref="FM3:GA3"/>
    <mergeCell ref="CP3:DD3"/>
    <mergeCell ref="DE3:DS3"/>
    <mergeCell ref="DT3:EH3"/>
    <mergeCell ref="EI3:EW3"/>
    <mergeCell ref="DT99:EH99"/>
    <mergeCell ref="FM52:GA52"/>
    <mergeCell ref="DT52:EH52"/>
    <mergeCell ref="EI52:EW52"/>
    <mergeCell ref="EX52:FL52"/>
    <mergeCell ref="CA99:CP99"/>
    <mergeCell ref="DE52:DS52"/>
    <mergeCell ref="A3:P3"/>
    <mergeCell ref="Q3:AF3"/>
    <mergeCell ref="A52:P52"/>
    <mergeCell ref="Q52:AF52"/>
    <mergeCell ref="AG3:AV3"/>
    <mergeCell ref="AG52:AV52"/>
    <mergeCell ref="AW3:BK3"/>
    <mergeCell ref="BL3:BZ3"/>
    <mergeCell ref="AW52:BK52"/>
    <mergeCell ref="BL52:BZ52"/>
    <mergeCell ref="CA52:CO52"/>
    <mergeCell ref="CP52:DD52"/>
  </mergeCells>
  <phoneticPr fontId="0" type="noConversion"/>
  <printOptions horizontalCentered="1"/>
  <pageMargins left="0.46" right="0.4" top="0.59" bottom="0.17" header="0.3" footer="0.27"/>
  <pageSetup scale="75" fitToWidth="12" orientation="landscape" horizontalDpi="300" verticalDpi="300" r:id="rId1"/>
  <headerFooter alignWithMargins="0">
    <oddHeader>&amp;CFY03 MTA Directly Operated Metro Bus Scheduled, Actual and Budgeted Revenue Service Hours</oddHeader>
    <oddFooter>&amp;L&amp;8* Red color signifies Hollywood Bowl RSH and blue signifies race track RSH.  Black signifies Sector totals including both Hollywood Bowl and race track RSH.&amp;R&amp;8&amp;P</oddFooter>
  </headerFooter>
  <rowBreaks count="1" manualBreakCount="1">
    <brk id="75" max="182" man="1"/>
  </rowBreaks>
  <colBreaks count="11" manualBreakCount="11">
    <brk id="16" max="126" man="1"/>
    <brk id="32" max="126" man="1"/>
    <brk id="48" max="1048575" man="1"/>
    <brk id="63" max="126" man="1"/>
    <brk id="78" max="126" man="1"/>
    <brk id="93" max="126" man="1"/>
    <brk id="108" max="126" man="1"/>
    <brk id="123" max="126" man="1"/>
    <brk id="138" max="126" man="1"/>
    <brk id="153" max="126" man="1"/>
    <brk id="168" max="126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etro Document" ma:contentTypeID="0x010100308A960F8B0B9C4DADA48BDC69735FDA00BF7F65D61AA9B9418BE66A41671664AB" ma:contentTypeVersion="1981" ma:contentTypeDescription="Metro Document Content Type.  Used to replace the standard Document Content Type.  This content type contains the required metadata for Metro documents." ma:contentTypeScope="" ma:versionID="915f1bc5b029fff5997e101fcdc777bf">
  <xsd:schema xmlns:xsd="http://www.w3.org/2001/XMLSchema" xmlns:xs="http://www.w3.org/2001/XMLSchema" xmlns:p="http://schemas.microsoft.com/office/2006/metadata/properties" xmlns:ns1="http://schemas.microsoft.com/sharepoint/v3" xmlns:ns2="9842d9e1-95c7-412c-a753-8ce2fd2674ae" xmlns:ns3="9867b668-7df4-4c0a-9cfe-9abf4da9cf85" targetNamespace="http://schemas.microsoft.com/office/2006/metadata/properties" ma:root="true" ma:fieldsID="0eccd5a0088f1be6537e9813aef7ce1a" ns1:_="" ns2:_="" ns3:_="">
    <xsd:import namespace="http://schemas.microsoft.com/sharepoint/v3"/>
    <xsd:import namespace="9842d9e1-95c7-412c-a753-8ce2fd2674ae"/>
    <xsd:import namespace="9867b668-7df4-4c0a-9cfe-9abf4da9cf8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PotentialRecord" minOccurs="0"/>
                <xsd:element ref="ns3:Report_x0020_Type"/>
                <xsd:element ref="ns3:Calendar_x002f_Fiscal_x0020_Year" minOccurs="0"/>
                <xsd:element ref="ns3:Quarter"/>
                <xsd:element ref="ns3:Month" minOccurs="0"/>
                <xsd:element ref="ns3:Reporting_x0020_Period"/>
                <xsd:element ref="ns2:TaxCatchAllLabel" minOccurs="0"/>
                <xsd:element ref="ns2:DocumentTypeTaxHTField0" minOccurs="0"/>
                <xsd:element ref="ns2:TaxCatchAll" minOccurs="0"/>
                <xsd:element ref="ns2:CostCenterTaxHTField0" minOccurs="0"/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3:MediaServiceMetadata" minOccurs="0"/>
                <xsd:element ref="ns3:MediaServiceFastMetadata" minOccurs="0"/>
                <xsd:element ref="ns3:Service_x0020_Provider" minOccurs="0"/>
                <xsd:element ref="ns3:Calendar_x0020_Year" minOccurs="0"/>
                <xsd:element ref="ns2:SharedWithUsers" minOccurs="0"/>
                <xsd:element ref="ns2:SharedWithDetails" minOccurs="0"/>
                <xsd:element ref="ns3:ota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4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2d9e1-95c7-412c-a753-8ce2fd2674ae" elementFormDefault="qualified">
    <xsd:import namespace="http://schemas.microsoft.com/office/2006/documentManagement/types"/>
    <xsd:import namespace="http://schemas.microsoft.com/office/infopath/2007/PartnerControls"/>
    <xsd:element name="PotentialRecord" ma:index="7" nillable="true" ma:displayName="Potential Record" ma:default="0" ma:description="Should Records Coordinators treat this item as an Official Record in the future?&#10;" ma:internalName="PotentialRecord" ma:readOnly="false">
      <xsd:simpleType>
        <xsd:restriction base="dms:Boolean"/>
      </xsd:simpleType>
    </xsd:element>
    <xsd:element name="TaxCatchAllLabel" ma:index="15" nillable="true" ma:displayName="Taxonomy Catch All Column1" ma:hidden="true" ma:list="{de7128d1-1e3e-49c0-ba20-b3a0306856f5}" ma:internalName="TaxCatchAllLabel" ma:readOnly="true" ma:showField="CatchAllDataLabel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0" ma:index="16" nillable="true" ma:taxonomy="true" ma:internalName="DocumentTypeTaxHTField0" ma:taxonomyFieldName="DocumentType" ma:displayName="Document Type" ma:readOnly="false" ma:default="-1;#Reports|e382d025-cdbc-446f-86b9-7fa66ee697da" ma:fieldId="{85396a9f-32df-4177-8a76-6be23eaec82f}" ma:sspId="2b35d8d6-c495-4997-a5c0-b3dbc42d7f56" ma:termSetId="7be1db65-9814-4ca8-bb31-3b5def6ef2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de7128d1-1e3e-49c0-ba20-b3a0306856f5}" ma:internalName="TaxCatchAll" ma:readOnly="false" ma:showField="CatchAllData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stCenterTaxHTField0" ma:index="19" nillable="true" ma:taxonomy="true" ma:internalName="CostCenterTaxHTField0" ma:taxonomyFieldName="CostCenter" ma:displayName="Cost Center" ma:readOnly="false" ma:default="-1;#3151|ec567317-bef4-4c6f-99d1-4c6582476d64" ma:fieldId="{b3a913ae-ef70-4247-ba61-845fbedb7245}" ma:sspId="2b35d8d6-c495-4997-a5c0-b3dbc42d7f56" ma:termSetId="154175ae-e85e-4495-a4ca-a2b1b9f276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25" ma:taxonomy="true" ma:internalName="TaxKeywordTaxHTField" ma:taxonomyFieldName="TaxKeyword" ma:displayName="Enterprise Keywords" ma:readOnly="false" ma:fieldId="{23f27201-bee3-471e-b2e7-b64fd8b7ca38}" ma:taxonomyMulti="true" ma:sspId="2b35d8d6-c495-4997-a5c0-b3dbc42d7f5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b668-7df4-4c0a-9cfe-9abf4da9cf85" elementFormDefault="qualified">
    <xsd:import namespace="http://schemas.microsoft.com/office/2006/documentManagement/types"/>
    <xsd:import namespace="http://schemas.microsoft.com/office/infopath/2007/PartnerControls"/>
    <xsd:element name="Report_x0020_Type" ma:index="9" ma:displayName="Report Type" ma:default="(Please Pick a Choice)" ma:description="Pick the type of report" ma:format="Dropdown" ma:indexed="true" ma:internalName="Report_x0020_Type" ma:readOnly="false">
      <xsd:simpleType>
        <xsd:restriction base="dms:Choice">
          <xsd:enumeration value="(Please Pick a Choice)"/>
          <xsd:enumeration value="Actual Revenue Hours"/>
          <xsd:enumeration value="ADA Wheelchair Boardings"/>
          <xsd:enumeration value="Bus Accidents - Excessive"/>
          <xsd:enumeration value="Bus Accidents - Pending"/>
          <xsd:enumeration value="Bus Monthly Performance Report"/>
          <xsd:enumeration value="Fare Evasion (No Fare/Short Fare)"/>
          <xsd:enumeration value="Fare Media Mix"/>
          <xsd:enumeration value="On-Time Performance"/>
          <xsd:enumeration value="Operations Bulletins"/>
          <xsd:enumeration value="Operations Notices"/>
          <xsd:enumeration value="Police Related Incidents - Operator Calls to Police"/>
          <xsd:enumeration value="Police Related Incidents - Transit Policing Division Reports"/>
          <xsd:enumeration value="Rail Monthly Performance Report"/>
          <xsd:enumeration value="Ridership Estimates - Daily Bus Line Level"/>
          <xsd:enumeration value="Ridership Estimates - Rail Station Level"/>
          <xsd:enumeration value="Ridership Estimates - Historical Data"/>
          <xsd:enumeration value="Service Performance Monitoring Reports"/>
          <xsd:enumeration value="Service Performance Measures"/>
          <xsd:enumeration value="Tariff Notices"/>
          <xsd:enumeration value="4-24 Reports - Combined Directly Operated and Contract Services"/>
        </xsd:restriction>
      </xsd:simpleType>
    </xsd:element>
    <xsd:element name="Calendar_x002f_Fiscal_x0020_Year" ma:index="10" nillable="true" ma:displayName="Year" ma:default="Fiscal Year 2020" ma:description="Whether the report is for calendar year or fiscal year" ma:format="Dropdown" ma:indexed="true" ma:internalName="Calendar_x002f_Fiscal_x0020_Year" ma:readOnly="false">
      <xsd:simpleType>
        <xsd:restriction base="dms:Choice">
          <xsd:enumeration value="Fiscal Year 2020"/>
          <xsd:enumeration value="Fiscal Year 2019"/>
          <xsd:enumeration value="Fiscal Year 2018"/>
          <xsd:enumeration value="Fiscal Year 2017"/>
          <xsd:enumeration value="Fiscal Year 2016"/>
          <xsd:enumeration value="Fiscal Year 2015"/>
          <xsd:enumeration value="Fiscal Year 2014"/>
          <xsd:enumeration value="Fiscal Year 2013"/>
          <xsd:enumeration value="Fiscal Year 2012"/>
          <xsd:enumeration value="Fiscal Year 2011"/>
          <xsd:enumeration value="Fiscal Year 2010"/>
          <xsd:enumeration value="Fiscal Year 2009"/>
          <xsd:enumeration value="Fiscal Year 2008"/>
          <xsd:enumeration value="Calendar Year 2019"/>
          <xsd:enumeration value="Calendar Year 2018"/>
          <xsd:enumeration value="Calendar Year 2017"/>
          <xsd:enumeration value="Calendar Year 2016"/>
          <xsd:enumeration value="Calendar Year 2015"/>
          <xsd:enumeration value="Calendar Year 2014"/>
          <xsd:enumeration value="Calendar Year 2013"/>
          <xsd:enumeration value="Calendar Year 2012"/>
          <xsd:enumeration value="Calendar Year 2011"/>
          <xsd:enumeration value="Calendar Year 2010"/>
          <xsd:enumeration value="Calendar Year 2009"/>
          <xsd:enumeration value="Calendar Year 2008"/>
        </xsd:restriction>
      </xsd:simpleType>
    </xsd:element>
    <xsd:element name="Quarter" ma:index="11" ma:displayName="Quarter" ma:default="(Not Applicable)" ma:description="Quarter of the Calendar or Fiscal Year" ma:format="Dropdown" ma:internalName="Quarter" ma:readOnly="false">
      <xsd:simpleType>
        <xsd:restriction base="dms:Choice">
          <xsd:enumeration value="(Not Applicable)"/>
          <xsd:enumeration value="Quarter 1"/>
          <xsd:enumeration value="Quarter 2"/>
          <xsd:enumeration value="Quarter 3"/>
          <xsd:enumeration value="Quarter 4"/>
        </xsd:restriction>
      </xsd:simpleType>
    </xsd:element>
    <xsd:element name="Month" ma:index="12" nillable="true" ma:displayName="Month" ma:default="(Not Applicable)" ma:description="Month of the Year" ma:format="Dropdown" ma:internalName="Month" ma:readOnly="false">
      <xsd:simpleType>
        <xsd:restriction base="dms:Choice">
          <xsd:enumeration value="(Not Applicable)"/>
          <xsd:enumeration value="01 - January"/>
          <xsd:enumeration value="02 - February"/>
          <xsd:enumeration value="03 - March"/>
          <xsd:enumeration value="04 - April"/>
          <xsd:enumeration value="05 - May"/>
          <xsd:enumeration value="06 - June"/>
          <xsd:enumeration value="07 - July"/>
          <xsd:enumeration value="08 - August"/>
          <xsd:enumeration value="09 - September"/>
          <xsd:enumeration value="10 - October"/>
          <xsd:enumeration value="11 - November"/>
          <xsd:enumeration value="12 - December"/>
        </xsd:restriction>
      </xsd:simpleType>
    </xsd:element>
    <xsd:element name="Reporting_x0020_Period" ma:index="13" ma:displayName="Reporting Period" ma:format="Dropdown" ma:internalName="Reporting_x0020_Period" ma:readOnly="false">
      <xsd:simpleType>
        <xsd:restriction base="dms:Choice">
          <xsd:enumeration value="Ad-Hoc"/>
          <xsd:enumeration value="Monthly"/>
          <xsd:enumeration value="Quarterly"/>
          <xsd:enumeration value="Annual"/>
          <xsd:enumeration value="Semi-Annual"/>
        </xsd:restriction>
      </xsd:simpleType>
    </xsd:element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Service_x0020_Provider" ma:index="29" nillable="true" ma:displayName="Service Provider" ma:default="Directly Operated" ma:format="Dropdown" ma:internalName="Service_x0020_Provider">
      <xsd:simpleType>
        <xsd:restriction base="dms:Choice">
          <xsd:enumeration value="(Not Applicable)"/>
          <xsd:enumeration value="Combined DO &amp; PT"/>
          <xsd:enumeration value="Directly Operated"/>
          <xsd:enumeration value="Purchased Transportation"/>
        </xsd:restriction>
      </xsd:simpleType>
    </xsd:element>
    <xsd:element name="Calendar_x0020_Year" ma:index="30" nillable="true" ma:displayName="Calendar Year" ma:default="2018" ma:format="Dropdown" ma:internalName="Calendar_x0020_Year">
      <xsd:simpleType>
        <xsd:restriction base="dms:Choice">
          <xsd:enumeration value="2030"/>
          <xsd:enumeration value="2029"/>
          <xsd:enumeration value="2028"/>
          <xsd:enumeration value="2027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</xsd:restriction>
      </xsd:simpleType>
    </xsd:element>
    <xsd:element name="otai" ma:index="34" nillable="true" ma:displayName="Restated" ma:internalName="otai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TaxHTField0 xmlns="9842d9e1-95c7-412c-a753-8ce2fd2674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</TermName>
          <TermId xmlns="http://schemas.microsoft.com/office/infopath/2007/PartnerControls">e382d025-cdbc-446f-86b9-7fa66ee697da</TermId>
        </TermInfo>
      </Terms>
    </DocumentTypeTaxHTField0>
    <TaxKeywordTaxHTField xmlns="9842d9e1-95c7-412c-a753-8ce2fd2674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0c93a251-559f-4648-8f0a-67d372a40acc</TermId>
        </TermInfo>
      </Terms>
    </TaxKeywordTaxHTField>
    <Calendar_x0020_Year xmlns="9867b668-7df4-4c0a-9cfe-9abf4da9cf85">2019</Calendar_x0020_Year>
    <Report_x0020_Type xmlns="9867b668-7df4-4c0a-9cfe-9abf4da9cf85">Actual Revenue Hours</Report_x0020_Type>
    <_dlc_DocIdPersistId xmlns="9842d9e1-95c7-412c-a753-8ce2fd2674ae" xsi:nil="true"/>
    <CostCenterTaxHTField0 xmlns="9842d9e1-95c7-412c-a753-8ce2fd2674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3151</TermName>
          <TermId xmlns="http://schemas.microsoft.com/office/infopath/2007/PartnerControls">ec567317-bef4-4c6f-99d1-4c6582476d64</TermId>
        </TermInfo>
      </Terms>
    </CostCenterTaxHTField0>
    <Calendar_x002f_Fiscal_x0020_Year xmlns="9867b668-7df4-4c0a-9cfe-9abf4da9cf85">Fiscal Year 2020</Calendar_x002f_Fiscal_x0020_Year>
    <RoutingRuleDescription xmlns="http://schemas.microsoft.com/sharepoint/v3">201910 ActualRH</RoutingRuleDescription>
    <PotentialRecord xmlns="9842d9e1-95c7-412c-a753-8ce2fd2674ae">true</PotentialRecord>
    <Quarter xmlns="9867b668-7df4-4c0a-9cfe-9abf4da9cf85">Quarter 2</Quarter>
    <Service_x0020_Provider xmlns="9867b668-7df4-4c0a-9cfe-9abf4da9cf85">Directly Operated</Service_x0020_Provider>
    <otai xmlns="9867b668-7df4-4c0a-9cfe-9abf4da9cf85" xsi:nil="true"/>
    <Month xmlns="9867b668-7df4-4c0a-9cfe-9abf4da9cf85">(Not Applicable)</Month>
    <Reporting_x0020_Period xmlns="9867b668-7df4-4c0a-9cfe-9abf4da9cf85">Monthly</Reporting_x0020_Period>
    <TaxCatchAll xmlns="9842d9e1-95c7-412c-a753-8ce2fd2674ae">
      <Value>433</Value>
      <Value>795</Value>
      <Value>414</Value>
    </TaxCatchAll>
    <_dlc_DocId xmlns="9842d9e1-95c7-412c-a753-8ce2fd2674ae">INTRA-550275711-1348</_dlc_DocId>
    <_dlc_DocIdUrl xmlns="9842d9e1-95c7-412c-a753-8ce2fd2674ae">
      <Url>https://lacmta.sharepoint.com/sites/MyMetro/Operations/SDSA/_layouts/15/DocIdRedir.aspx?ID=INTRA-550275711-1348</Url>
      <Description>INTRA-550275711-1348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12049-C55C-4852-8DA6-694E6F23199A}"/>
</file>

<file path=customXml/itemProps2.xml><?xml version="1.0" encoding="utf-8"?>
<ds:datastoreItem xmlns:ds="http://schemas.openxmlformats.org/officeDocument/2006/customXml" ds:itemID="{6C9AAFE8-FD9C-41FE-B36F-E1AA06C971F7}"/>
</file>

<file path=customXml/itemProps3.xml><?xml version="1.0" encoding="utf-8"?>
<ds:datastoreItem xmlns:ds="http://schemas.openxmlformats.org/officeDocument/2006/customXml" ds:itemID="{AF4E8CBD-DE4A-4812-A76C-CBE02E2D5B5C}"/>
</file>

<file path=customXml/itemProps4.xml><?xml version="1.0" encoding="utf-8"?>
<ds:datastoreItem xmlns:ds="http://schemas.openxmlformats.org/officeDocument/2006/customXml" ds:itemID="{A1E3688F-157D-4CF6-9539-1E1A82B6E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LACMTA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201910 ActualRH</dc:title>
  <dc:subject/>
  <dc:creator>Linnea K. Berg</dc:creator>
  <cp:keywords>Report</cp:keywords>
  <dc:description/>
  <cp:lastModifiedBy/>
  <cp:revision/>
  <dcterms:created xsi:type="dcterms:W3CDTF">2002-11-20T01:06:25Z</dcterms:created>
  <dcterms:modified xsi:type="dcterms:W3CDTF">2019-11-15T20:00:53Z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0x010100308A960F8B0B9C4DADA48BDC69735FDA00BF7F65D61AA9B9418BE66A41671664AB</vt:lpwstr>
  </property>
  <property fmtid="{D5CDD505-2E9C-101B-9397-08002B2CF9AE}" pid="3" name="_dlc_DocIdItemGuid">
    <vt:lpwstr>ac9c99d9-aa4a-4bb5-8228-ff6541174d96</vt:lpwstr>
  </property>
  <property fmtid="{D5CDD505-2E9C-101B-9397-08002B2CF9AE}" pid="4" name="DocumentType">
    <vt:lpwstr>433;#Reports|e382d025-cdbc-446f-86b9-7fa66ee697da</vt:lpwstr>
  </property>
  <property fmtid="{D5CDD505-2E9C-101B-9397-08002B2CF9AE}" pid="5" name="CostCenter">
    <vt:lpwstr>414;#3151|ec567317-bef4-4c6f-99d1-4c6582476d64</vt:lpwstr>
  </property>
  <property fmtid="{D5CDD505-2E9C-101B-9397-08002B2CF9AE}" pid="6" name="TaxKeyword">
    <vt:lpwstr>795;#Report|0c93a251-559f-4648-8f0a-67d372a40acc</vt:lpwstr>
  </property>
</Properties>
</file>